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115" windowHeight="8010" tabRatio="893"/>
  </bookViews>
  <sheets>
    <sheet name="calculs et données" sheetId="1" r:id="rId1"/>
    <sheet name="tableau maslow" sheetId="10" r:id="rId2"/>
    <sheet name="Graph_maslow" sheetId="14" r:id="rId3"/>
    <sheet name="data_Maslow" sheetId="11" r:id="rId4"/>
    <sheet name="motifs_maslow" sheetId="12" r:id="rId5"/>
    <sheet name="Graph_empreinte" sheetId="13" r:id="rId6"/>
    <sheet name="data_empreinte" sheetId="6" r:id="rId7"/>
    <sheet name="empreinte (tableau)" sheetId="4" r:id="rId8"/>
    <sheet name="batiment" sheetId="5" r:id="rId9"/>
  </sheets>
  <definedNames>
    <definedName name="_Order1" hidden="1">255</definedName>
    <definedName name="_Order2" hidden="1">255</definedName>
    <definedName name="_xlnm.Print_Area" localSheetId="6">data_empreinte!#REF!</definedName>
    <definedName name="_xlnm.Print_Area" localSheetId="7">'empreinte (tableau)'!$D$10:$M$79</definedName>
    <definedName name="_xlnm.Print_Area" localSheetId="1">'tableau maslow'!$D$9:$M$82</definedName>
  </definedNames>
  <calcPr calcId="145621"/>
  <fileRecoveryPr repairLoad="1"/>
</workbook>
</file>

<file path=xl/calcChain.xml><?xml version="1.0" encoding="utf-8"?>
<calcChain xmlns="http://schemas.openxmlformats.org/spreadsheetml/2006/main">
  <c r="N78" i="1" l="1"/>
  <c r="B9" i="6"/>
  <c r="F10" i="6"/>
  <c r="F9" i="6"/>
  <c r="P54" i="1"/>
  <c r="P52" i="1"/>
  <c r="W52" i="1"/>
  <c r="I122" i="1"/>
  <c r="N122" i="1" s="1"/>
  <c r="H122" i="1"/>
  <c r="N3" i="1"/>
  <c r="O64" i="1"/>
  <c r="G9" i="5" l="1"/>
  <c r="F9" i="5"/>
  <c r="E9" i="5"/>
  <c r="G7" i="5"/>
  <c r="G6" i="5"/>
  <c r="J128" i="1"/>
  <c r="H126" i="1"/>
  <c r="J121" i="1"/>
  <c r="K121" i="1" s="1"/>
  <c r="N120" i="1"/>
  <c r="J120" i="1"/>
  <c r="K120" i="1" s="1"/>
  <c r="N119" i="1"/>
  <c r="J119" i="1"/>
  <c r="K119" i="1" s="1"/>
  <c r="N118" i="1"/>
  <c r="J118" i="1"/>
  <c r="K118" i="1" s="1"/>
  <c r="N117" i="1"/>
  <c r="J117" i="1"/>
  <c r="K117" i="1" s="1"/>
  <c r="N116" i="1"/>
  <c r="J116" i="1"/>
  <c r="K116" i="1" s="1"/>
  <c r="S112" i="1"/>
  <c r="T112" i="1" s="1"/>
  <c r="H111" i="1"/>
  <c r="P110" i="1"/>
  <c r="P111" i="1" s="1"/>
  <c r="H106" i="1"/>
  <c r="O87" i="1" s="1"/>
  <c r="H102" i="1"/>
  <c r="H103" i="1" s="1"/>
  <c r="H104" i="1" s="1"/>
  <c r="O86" i="1" s="1"/>
  <c r="J95" i="1"/>
  <c r="J96" i="1" s="1"/>
  <c r="J97" i="1" s="1"/>
  <c r="H95" i="1"/>
  <c r="H96" i="1" s="1"/>
  <c r="H97" i="1" s="1"/>
  <c r="H92" i="1"/>
  <c r="J92" i="1" s="1"/>
  <c r="H91" i="1"/>
  <c r="J91" i="1" s="1"/>
  <c r="S90" i="1"/>
  <c r="H90" i="1"/>
  <c r="J89" i="1"/>
  <c r="H86" i="1"/>
  <c r="J86" i="1" s="1"/>
  <c r="H85" i="1"/>
  <c r="J85" i="1" s="1"/>
  <c r="K84" i="1"/>
  <c r="H82" i="1"/>
  <c r="H81" i="1"/>
  <c r="H80" i="1"/>
  <c r="H79" i="1"/>
  <c r="O78" i="1"/>
  <c r="AA62" i="4" s="1"/>
  <c r="T9" i="4" s="1"/>
  <c r="K78" i="1"/>
  <c r="H78" i="1"/>
  <c r="J78" i="1" s="1"/>
  <c r="K77" i="1"/>
  <c r="H74" i="1"/>
  <c r="J74" i="1" s="1"/>
  <c r="H73" i="1"/>
  <c r="O73" i="1" s="1"/>
  <c r="K72" i="1"/>
  <c r="J72" i="1"/>
  <c r="O69" i="1"/>
  <c r="H69" i="1"/>
  <c r="J69" i="1" s="1"/>
  <c r="H67" i="1"/>
  <c r="O67" i="1" s="1"/>
  <c r="K66" i="1"/>
  <c r="J66" i="1"/>
  <c r="H66" i="1"/>
  <c r="O66" i="1" s="1"/>
  <c r="H65" i="1"/>
  <c r="J65" i="1" s="1"/>
  <c r="H64" i="1"/>
  <c r="J64" i="1" s="1"/>
  <c r="K62" i="1"/>
  <c r="H60" i="1"/>
  <c r="J60" i="1" s="1"/>
  <c r="H58" i="1"/>
  <c r="J58" i="1" s="1"/>
  <c r="H57" i="1"/>
  <c r="H56" i="1"/>
  <c r="J56" i="1" s="1"/>
  <c r="H55" i="1"/>
  <c r="J55" i="1" s="1"/>
  <c r="H54" i="1"/>
  <c r="J54" i="1" s="1"/>
  <c r="H53" i="1"/>
  <c r="J53" i="1" s="1"/>
  <c r="H52" i="1"/>
  <c r="K52" i="1" s="1"/>
  <c r="O52" i="1" s="1"/>
  <c r="H49" i="1"/>
  <c r="O49" i="1" s="1"/>
  <c r="K47" i="1"/>
  <c r="X45" i="1"/>
  <c r="S45" i="1"/>
  <c r="O45" i="1"/>
  <c r="AE30" i="10" s="1"/>
  <c r="O44" i="1"/>
  <c r="O43" i="1"/>
  <c r="X42" i="1"/>
  <c r="S42" i="1"/>
  <c r="O42" i="1"/>
  <c r="X41" i="1"/>
  <c r="S41" i="1"/>
  <c r="O41" i="1"/>
  <c r="X40" i="1"/>
  <c r="S40" i="1"/>
  <c r="O40" i="1"/>
  <c r="AA25" i="4" s="1"/>
  <c r="I29" i="4" s="1"/>
  <c r="O39" i="1"/>
  <c r="AA23" i="4" s="1"/>
  <c r="I27" i="4" s="1"/>
  <c r="H38" i="1"/>
  <c r="J38" i="1" s="1"/>
  <c r="S36" i="1"/>
  <c r="O36" i="1"/>
  <c r="AA20" i="4" s="1"/>
  <c r="I24" i="4" s="1"/>
  <c r="S35" i="1"/>
  <c r="O35" i="1"/>
  <c r="AE22" i="10" s="1"/>
  <c r="Z22" i="10" s="1"/>
  <c r="S34" i="1"/>
  <c r="O34" i="1"/>
  <c r="S33" i="1"/>
  <c r="O33" i="1"/>
  <c r="AE21" i="10" s="1"/>
  <c r="AD21" i="10" s="1"/>
  <c r="T32" i="1"/>
  <c r="O32" i="1" s="1"/>
  <c r="S31" i="1"/>
  <c r="O31" i="1"/>
  <c r="AA16" i="4" s="1"/>
  <c r="H30" i="1"/>
  <c r="J30" i="1" s="1"/>
  <c r="P26" i="1"/>
  <c r="T21" i="1"/>
  <c r="O21" i="1" s="1"/>
  <c r="P21" i="1" s="1"/>
  <c r="S19" i="1"/>
  <c r="O19" i="1"/>
  <c r="S17" i="1"/>
  <c r="O17" i="1"/>
  <c r="S16" i="1"/>
  <c r="O16" i="1"/>
  <c r="S15" i="1"/>
  <c r="O15" i="1"/>
  <c r="S14" i="1"/>
  <c r="O14" i="1"/>
  <c r="S13" i="1"/>
  <c r="O13" i="1"/>
  <c r="S10" i="1"/>
  <c r="O10" i="1"/>
  <c r="S9" i="1"/>
  <c r="O9" i="1"/>
  <c r="S8" i="1"/>
  <c r="O8" i="1"/>
  <c r="S7" i="1"/>
  <c r="O7" i="1"/>
  <c r="H6" i="1"/>
  <c r="J6" i="1" s="1"/>
  <c r="K5" i="1"/>
  <c r="B4" i="1"/>
  <c r="B5" i="1" s="1"/>
  <c r="B6" i="1" s="1"/>
  <c r="B7" i="1" s="1"/>
  <c r="B8" i="1" s="1"/>
  <c r="B9" i="1" s="1"/>
  <c r="B10" i="1" s="1"/>
  <c r="B12" i="1" s="1"/>
  <c r="B13" i="1" s="1"/>
  <c r="B14" i="1" s="1"/>
  <c r="B15" i="1" s="1"/>
  <c r="B16" i="1" s="1"/>
  <c r="B17" i="1" s="1"/>
  <c r="B20" i="1" s="1"/>
  <c r="B21" i="1" s="1"/>
  <c r="B24" i="1" s="1"/>
  <c r="B25" i="1" s="1"/>
  <c r="B26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8" i="1" s="1"/>
  <c r="B89" i="1" s="1"/>
  <c r="B90" i="1" s="1"/>
  <c r="B91" i="1" s="1"/>
  <c r="B92" i="1" s="1"/>
  <c r="AA67" i="4"/>
  <c r="T14" i="4" s="1"/>
  <c r="AA49" i="4"/>
  <c r="AA27" i="4"/>
  <c r="I31" i="4" s="1"/>
  <c r="AA26" i="4"/>
  <c r="I30" i="4" s="1"/>
  <c r="U80" i="10"/>
  <c r="S80" i="10"/>
  <c r="U79" i="10"/>
  <c r="S79" i="10"/>
  <c r="U78" i="10"/>
  <c r="S78" i="10"/>
  <c r="AD76" i="10"/>
  <c r="AC76" i="10"/>
  <c r="AA76" i="10"/>
  <c r="Z76" i="10"/>
  <c r="U75" i="10"/>
  <c r="S75" i="10"/>
  <c r="U74" i="10"/>
  <c r="S74" i="10"/>
  <c r="U73" i="10"/>
  <c r="S73" i="10"/>
  <c r="R73" i="10"/>
  <c r="AE70" i="10"/>
  <c r="AC70" i="10" s="1"/>
  <c r="U70" i="10"/>
  <c r="S70" i="10"/>
  <c r="P70" i="10"/>
  <c r="U69" i="10"/>
  <c r="S69" i="10"/>
  <c r="R69" i="10"/>
  <c r="P69" i="10"/>
  <c r="U68" i="10"/>
  <c r="S68" i="10"/>
  <c r="R68" i="10"/>
  <c r="P68" i="10"/>
  <c r="U67" i="10"/>
  <c r="S67" i="10"/>
  <c r="R67" i="10"/>
  <c r="P67" i="10"/>
  <c r="U66" i="10"/>
  <c r="S66" i="10"/>
  <c r="R66" i="10"/>
  <c r="P66" i="10"/>
  <c r="AE65" i="10"/>
  <c r="AD65" i="10" s="1"/>
  <c r="U65" i="10"/>
  <c r="S65" i="10"/>
  <c r="R65" i="10"/>
  <c r="P65" i="10"/>
  <c r="U59" i="10"/>
  <c r="S59" i="10"/>
  <c r="P59" i="10"/>
  <c r="U54" i="10"/>
  <c r="S54" i="10"/>
  <c r="U52" i="10"/>
  <c r="S52" i="10"/>
  <c r="U50" i="10"/>
  <c r="S50" i="10"/>
  <c r="U48" i="10"/>
  <c r="S48" i="10"/>
  <c r="U47" i="10"/>
  <c r="S47" i="10"/>
  <c r="U41" i="10"/>
  <c r="S41" i="10"/>
  <c r="U40" i="10"/>
  <c r="S40" i="10"/>
  <c r="U39" i="10"/>
  <c r="S39" i="10"/>
  <c r="U38" i="10"/>
  <c r="S38" i="10"/>
  <c r="U35" i="10"/>
  <c r="S35" i="10"/>
  <c r="U30" i="10"/>
  <c r="S30" i="10"/>
  <c r="Q30" i="10"/>
  <c r="AE29" i="10"/>
  <c r="Z29" i="10" s="1"/>
  <c r="U29" i="10"/>
  <c r="S29" i="10"/>
  <c r="U28" i="10"/>
  <c r="S28" i="10"/>
  <c r="Q28" i="10"/>
  <c r="U27" i="10"/>
  <c r="S27" i="10"/>
  <c r="Q27" i="10"/>
  <c r="AE26" i="10"/>
  <c r="AC26" i="10" s="1"/>
  <c r="U26" i="10"/>
  <c r="S26" i="10"/>
  <c r="Q26" i="10"/>
  <c r="U23" i="10"/>
  <c r="S23" i="10"/>
  <c r="Q23" i="10"/>
  <c r="U22" i="10"/>
  <c r="S22" i="10"/>
  <c r="Q22" i="10"/>
  <c r="U21" i="10"/>
  <c r="S21" i="10"/>
  <c r="Q21" i="10"/>
  <c r="U20" i="10"/>
  <c r="S20" i="10"/>
  <c r="Q20" i="10"/>
  <c r="U19" i="10"/>
  <c r="S19" i="10"/>
  <c r="Q19" i="10"/>
  <c r="U16" i="10"/>
  <c r="S16" i="10"/>
  <c r="U13" i="10"/>
  <c r="S13" i="10"/>
  <c r="U12" i="10"/>
  <c r="S12" i="10"/>
  <c r="K122" i="1" l="1"/>
  <c r="AE28" i="10"/>
  <c r="Z28" i="10" s="1"/>
  <c r="AE23" i="10"/>
  <c r="AD23" i="10" s="1"/>
  <c r="S21" i="1"/>
  <c r="AA9" i="4"/>
  <c r="I13" i="4" s="1"/>
  <c r="P112" i="1"/>
  <c r="H112" i="1" s="1"/>
  <c r="H113" i="1" s="1"/>
  <c r="K85" i="1" s="1"/>
  <c r="O85" i="1" s="1"/>
  <c r="AE73" i="10" s="1"/>
  <c r="AA10" i="4"/>
  <c r="AE13" i="10"/>
  <c r="AD13" i="10" s="1"/>
  <c r="AA19" i="4"/>
  <c r="I23" i="4" s="1"/>
  <c r="Z30" i="10"/>
  <c r="AD30" i="10"/>
  <c r="AC30" i="10"/>
  <c r="Q5" i="1"/>
  <c r="K58" i="1"/>
  <c r="AE12" i="10"/>
  <c r="AD12" i="10" s="1"/>
  <c r="AE27" i="10"/>
  <c r="AC27" i="10" s="1"/>
  <c r="K54" i="1"/>
  <c r="O58" i="1"/>
  <c r="AE19" i="10"/>
  <c r="AA19" i="10" s="1"/>
  <c r="AE52" i="10"/>
  <c r="AA52" i="10" s="1"/>
  <c r="S32" i="1"/>
  <c r="O54" i="1"/>
  <c r="O91" i="1"/>
  <c r="AE79" i="10" s="1"/>
  <c r="AD79" i="10" s="1"/>
  <c r="AA17" i="4"/>
  <c r="I21" i="4" s="1"/>
  <c r="AE20" i="10"/>
  <c r="AD20" i="10" s="1"/>
  <c r="AE50" i="10"/>
  <c r="Z50" i="10" s="1"/>
  <c r="AA47" i="4"/>
  <c r="S33" i="4" s="1"/>
  <c r="B13" i="6"/>
  <c r="P38" i="1"/>
  <c r="P30" i="1"/>
  <c r="P7" i="1"/>
  <c r="AA24" i="4"/>
  <c r="I28" i="4" s="1"/>
  <c r="O65" i="1"/>
  <c r="O92" i="1"/>
  <c r="AA77" i="4" s="1"/>
  <c r="T24" i="4" s="1"/>
  <c r="Z12" i="10"/>
  <c r="AC65" i="10"/>
  <c r="I22" i="10"/>
  <c r="AB8" i="4"/>
  <c r="H12" i="4" s="1"/>
  <c r="AE74" i="10"/>
  <c r="AC74" i="10" s="1"/>
  <c r="AA71" i="4"/>
  <c r="T18" i="4" s="1"/>
  <c r="AE38" i="10"/>
  <c r="AC38" i="10" s="1"/>
  <c r="AA35" i="4"/>
  <c r="I39" i="4" s="1"/>
  <c r="P12" i="1"/>
  <c r="AE47" i="10"/>
  <c r="AA47" i="10" s="1"/>
  <c r="AA44" i="4"/>
  <c r="T30" i="4" s="1"/>
  <c r="AE54" i="10"/>
  <c r="AC54" i="10" s="1"/>
  <c r="AA51" i="4"/>
  <c r="S37" i="4" s="1"/>
  <c r="AA29" i="10"/>
  <c r="AD29" i="10"/>
  <c r="AC29" i="10"/>
  <c r="I29" i="10"/>
  <c r="Z73" i="10"/>
  <c r="AC73" i="10"/>
  <c r="AA18" i="4"/>
  <c r="I22" i="4" s="1"/>
  <c r="B15" i="6"/>
  <c r="O82" i="1"/>
  <c r="J82" i="1"/>
  <c r="AA70" i="4"/>
  <c r="T17" i="4" s="1"/>
  <c r="H129" i="1"/>
  <c r="H130" i="1" s="1"/>
  <c r="H131" i="1" s="1"/>
  <c r="O59" i="1" s="1"/>
  <c r="J126" i="1"/>
  <c r="Q72" i="1"/>
  <c r="AA56" i="4"/>
  <c r="AC54" i="4" s="1"/>
  <c r="R40" i="4" s="1"/>
  <c r="O81" i="1"/>
  <c r="J81" i="1"/>
  <c r="AA72" i="4"/>
  <c r="T19" i="4" s="1"/>
  <c r="AE75" i="10"/>
  <c r="AD75" i="10" s="1"/>
  <c r="AA13" i="4"/>
  <c r="AB12" i="4" s="1"/>
  <c r="H16" i="4" s="1"/>
  <c r="AA45" i="4"/>
  <c r="T31" i="4" s="1"/>
  <c r="O79" i="1"/>
  <c r="J79" i="1"/>
  <c r="I76" i="1"/>
  <c r="AE16" i="10"/>
  <c r="Z16" i="10" s="1"/>
  <c r="AE59" i="10"/>
  <c r="H59" i="10" s="1"/>
  <c r="AA32" i="4"/>
  <c r="AB32" i="4" s="1"/>
  <c r="H36" i="4" s="1"/>
  <c r="AE35" i="10"/>
  <c r="AC35" i="10" s="1"/>
  <c r="Q47" i="1"/>
  <c r="O80" i="1"/>
  <c r="J80" i="1"/>
  <c r="O90" i="1"/>
  <c r="J49" i="1"/>
  <c r="J52" i="1"/>
  <c r="J57" i="1"/>
  <c r="J67" i="1"/>
  <c r="J73" i="1"/>
  <c r="J90" i="1"/>
  <c r="I26" i="10"/>
  <c r="Z26" i="10"/>
  <c r="I65" i="10"/>
  <c r="I70" i="10"/>
  <c r="Z70" i="10"/>
  <c r="AB22" i="4"/>
  <c r="H26" i="4" s="1"/>
  <c r="AD26" i="10"/>
  <c r="I30" i="10"/>
  <c r="AD54" i="10"/>
  <c r="Z65" i="10"/>
  <c r="AA70" i="10"/>
  <c r="AA50" i="10"/>
  <c r="I20" i="10"/>
  <c r="AA20" i="10"/>
  <c r="I21" i="10"/>
  <c r="Z21" i="10"/>
  <c r="AA38" i="10"/>
  <c r="I12" i="10"/>
  <c r="AC20" i="10"/>
  <c r="AC21" i="10"/>
  <c r="Z23" i="10"/>
  <c r="AA26" i="10"/>
  <c r="I47" i="10"/>
  <c r="AA54" i="10"/>
  <c r="AD70" i="10"/>
  <c r="I14" i="4"/>
  <c r="I20" i="4"/>
  <c r="AA23" i="10"/>
  <c r="S35" i="4"/>
  <c r="AD19" i="10"/>
  <c r="I19" i="10"/>
  <c r="AC19" i="10"/>
  <c r="AC12" i="10"/>
  <c r="AF11" i="10"/>
  <c r="AA12" i="10"/>
  <c r="AD28" i="10"/>
  <c r="I28" i="10"/>
  <c r="AC28" i="10"/>
  <c r="AA28" i="10"/>
  <c r="Z19" i="10"/>
  <c r="AD22" i="10"/>
  <c r="AC22" i="10"/>
  <c r="AA22" i="10"/>
  <c r="AC23" i="10"/>
  <c r="AD73" i="10"/>
  <c r="I73" i="10"/>
  <c r="AA73" i="10"/>
  <c r="B11" i="6"/>
  <c r="AA21" i="10"/>
  <c r="I23" i="10"/>
  <c r="AA27" i="10"/>
  <c r="AA30" i="10"/>
  <c r="AA65" i="10"/>
  <c r="AA74" i="10"/>
  <c r="B14" i="6"/>
  <c r="H54" i="10" l="1"/>
  <c r="H52" i="10"/>
  <c r="AE48" i="10"/>
  <c r="P63" i="1"/>
  <c r="AA13" i="10"/>
  <c r="AA76" i="4"/>
  <c r="T23" i="4" s="1"/>
  <c r="AA75" i="10"/>
  <c r="AC13" i="10"/>
  <c r="AC48" i="10"/>
  <c r="Z13" i="10"/>
  <c r="I13" i="10"/>
  <c r="I38" i="10"/>
  <c r="AD48" i="10"/>
  <c r="AC52" i="10"/>
  <c r="AF25" i="10"/>
  <c r="AD52" i="10"/>
  <c r="H50" i="10"/>
  <c r="Z52" i="10"/>
  <c r="AD50" i="10"/>
  <c r="Z27" i="10"/>
  <c r="B5" i="6"/>
  <c r="Z79" i="10"/>
  <c r="AD27" i="10"/>
  <c r="AC79" i="10"/>
  <c r="AA79" i="10"/>
  <c r="I79" i="10"/>
  <c r="AC50" i="10"/>
  <c r="I27" i="10"/>
  <c r="Q51" i="1"/>
  <c r="AA36" i="4"/>
  <c r="I40" i="4" s="1"/>
  <c r="AE39" i="10"/>
  <c r="I48" i="10"/>
  <c r="Z48" i="10"/>
  <c r="AF18" i="10"/>
  <c r="H18" i="10" s="1"/>
  <c r="Z20" i="10"/>
  <c r="AE80" i="10"/>
  <c r="AC80" i="10" s="1"/>
  <c r="Q62" i="1"/>
  <c r="AE40" i="10"/>
  <c r="AA37" i="4"/>
  <c r="I41" i="4" s="1"/>
  <c r="AD16" i="10"/>
  <c r="AG57" i="10"/>
  <c r="AB15" i="4"/>
  <c r="H19" i="4" s="1"/>
  <c r="AF15" i="10"/>
  <c r="H15" i="10" s="1"/>
  <c r="I16" i="10"/>
  <c r="AC16" i="10"/>
  <c r="AC6" i="4"/>
  <c r="G10" i="4" s="1"/>
  <c r="I74" i="10"/>
  <c r="Z74" i="10"/>
  <c r="AA35" i="10"/>
  <c r="AF35" i="10"/>
  <c r="H35" i="10" s="1"/>
  <c r="AD74" i="10"/>
  <c r="AF72" i="10"/>
  <c r="H72" i="10" s="1"/>
  <c r="S42" i="4"/>
  <c r="AD47" i="10"/>
  <c r="Z59" i="10"/>
  <c r="AE78" i="10"/>
  <c r="AA75" i="4"/>
  <c r="AE66" i="10"/>
  <c r="Q76" i="1"/>
  <c r="Q4" i="1" s="1"/>
  <c r="AA63" i="4"/>
  <c r="AE68" i="10"/>
  <c r="AA65" i="4"/>
  <c r="T12" i="4" s="1"/>
  <c r="AE41" i="10"/>
  <c r="AA38" i="4"/>
  <c r="AB69" i="4"/>
  <c r="S16" i="4" s="1"/>
  <c r="AA16" i="10"/>
  <c r="AG9" i="10"/>
  <c r="G9" i="10" s="1"/>
  <c r="I17" i="4"/>
  <c r="AB43" i="4"/>
  <c r="S29" i="4" s="1"/>
  <c r="Z54" i="10"/>
  <c r="AD35" i="10"/>
  <c r="Z35" i="10"/>
  <c r="Z75" i="10"/>
  <c r="AC75" i="10"/>
  <c r="I75" i="10"/>
  <c r="AA66" i="4"/>
  <c r="T13" i="4" s="1"/>
  <c r="AE69" i="10"/>
  <c r="AC47" i="10"/>
  <c r="Z47" i="10"/>
  <c r="AC59" i="10"/>
  <c r="AD59" i="10"/>
  <c r="AC41" i="4"/>
  <c r="R27" i="4" s="1"/>
  <c r="AA59" i="10"/>
  <c r="AG44" i="10"/>
  <c r="G44" i="10" s="1"/>
  <c r="AA64" i="4"/>
  <c r="AE67" i="10"/>
  <c r="AD38" i="10"/>
  <c r="Z38" i="10"/>
  <c r="B8" i="6"/>
  <c r="H22" i="6"/>
  <c r="B16" i="6"/>
  <c r="G57" i="10"/>
  <c r="H25" i="10"/>
  <c r="H11" i="10"/>
  <c r="I80" i="10" l="1"/>
  <c r="AA48" i="10"/>
  <c r="AF46" i="10"/>
  <c r="H46" i="10" s="1"/>
  <c r="R47" i="1"/>
  <c r="I23" i="6"/>
  <c r="Z80" i="10"/>
  <c r="I39" i="10"/>
  <c r="AD39" i="10"/>
  <c r="Z39" i="10"/>
  <c r="AA39" i="10"/>
  <c r="AC39" i="10"/>
  <c r="AD40" i="10"/>
  <c r="AC40" i="10"/>
  <c r="I40" i="10"/>
  <c r="AA40" i="10"/>
  <c r="Z40" i="10"/>
  <c r="AF37" i="10"/>
  <c r="AB34" i="4"/>
  <c r="B10" i="6"/>
  <c r="AD80" i="10"/>
  <c r="AA80" i="10"/>
  <c r="AC59" i="4"/>
  <c r="R6" i="4" s="1"/>
  <c r="T11" i="4"/>
  <c r="B7" i="6"/>
  <c r="F22" i="6"/>
  <c r="T10" i="4"/>
  <c r="AB61" i="4"/>
  <c r="S8" i="4" s="1"/>
  <c r="AG3" i="10"/>
  <c r="G3" i="10" s="1"/>
  <c r="R4" i="1"/>
  <c r="AC3" i="4"/>
  <c r="R85" i="1"/>
  <c r="R66" i="1"/>
  <c r="R52" i="1"/>
  <c r="R5" i="1"/>
  <c r="AD69" i="10"/>
  <c r="AC69" i="10"/>
  <c r="AA69" i="10"/>
  <c r="Z69" i="10"/>
  <c r="I69" i="10"/>
  <c r="R62" i="1"/>
  <c r="T22" i="4"/>
  <c r="AB74" i="4"/>
  <c r="S21" i="4" s="1"/>
  <c r="R72" i="1"/>
  <c r="I42" i="4"/>
  <c r="AC30" i="4"/>
  <c r="AC68" i="10"/>
  <c r="AA68" i="10"/>
  <c r="Z68" i="10"/>
  <c r="AD68" i="10"/>
  <c r="I68" i="10"/>
  <c r="R76" i="1"/>
  <c r="R51" i="1"/>
  <c r="AC67" i="10"/>
  <c r="Z67" i="10"/>
  <c r="AD67" i="10"/>
  <c r="I67" i="10"/>
  <c r="AA67" i="10"/>
  <c r="Z41" i="10"/>
  <c r="I41" i="10"/>
  <c r="AA41" i="10"/>
  <c r="AD41" i="10"/>
  <c r="AG33" i="10"/>
  <c r="AC41" i="10"/>
  <c r="AA66" i="10"/>
  <c r="Z66" i="10"/>
  <c r="AF64" i="10"/>
  <c r="H64" i="10" s="1"/>
  <c r="AC66" i="10"/>
  <c r="AD66" i="10"/>
  <c r="AG62" i="10"/>
  <c r="I66" i="10"/>
  <c r="Z78" i="10"/>
  <c r="I78" i="10"/>
  <c r="AA78" i="10"/>
  <c r="AD78" i="10"/>
  <c r="AF77" i="10"/>
  <c r="H77" i="10" s="1"/>
  <c r="AC78" i="10"/>
  <c r="B18" i="6"/>
  <c r="B12" i="6"/>
  <c r="D22" i="6"/>
  <c r="H38" i="4" l="1"/>
  <c r="AB4" i="4"/>
  <c r="H37" i="10"/>
  <c r="Z4" i="10"/>
  <c r="I4" i="11" s="1"/>
  <c r="H4" i="11" s="1"/>
  <c r="AD4" i="10"/>
  <c r="G62" i="10"/>
  <c r="AC4" i="4"/>
  <c r="AD74" i="4" s="1"/>
  <c r="V21" i="4" s="1"/>
  <c r="G34" i="4"/>
  <c r="B19" i="6"/>
  <c r="AC4" i="10"/>
  <c r="B6" i="6"/>
  <c r="G22" i="6"/>
  <c r="AA4" i="10"/>
  <c r="AH3" i="10"/>
  <c r="Z2" i="10" s="1"/>
  <c r="Q7" i="10" s="1"/>
  <c r="F4" i="11" s="1"/>
  <c r="G4" i="11" s="1"/>
  <c r="G33" i="10"/>
  <c r="Q6" i="10" l="1"/>
  <c r="I7" i="11"/>
  <c r="H7" i="11" s="1"/>
  <c r="U6" i="10"/>
  <c r="AH72" i="10"/>
  <c r="K72" i="10" s="1"/>
  <c r="AH15" i="10"/>
  <c r="K15" i="10" s="1"/>
  <c r="AH57" i="10"/>
  <c r="K57" i="10" s="1"/>
  <c r="AH11" i="10"/>
  <c r="K11" i="10" s="1"/>
  <c r="AH50" i="10"/>
  <c r="K50" i="10" s="1"/>
  <c r="AH29" i="10"/>
  <c r="K29" i="10" s="1"/>
  <c r="AH23" i="10"/>
  <c r="K23" i="10" s="1"/>
  <c r="AH30" i="10"/>
  <c r="K30" i="10" s="1"/>
  <c r="AH67" i="10"/>
  <c r="K67" i="10" s="1"/>
  <c r="AH41" i="10"/>
  <c r="K41" i="10" s="1"/>
  <c r="AH16" i="10"/>
  <c r="K16" i="10" s="1"/>
  <c r="AH80" i="10"/>
  <c r="K80" i="10" s="1"/>
  <c r="AH39" i="10"/>
  <c r="K39" i="10" s="1"/>
  <c r="AH66" i="10"/>
  <c r="K66" i="10" s="1"/>
  <c r="AH18" i="10"/>
  <c r="K18" i="10" s="1"/>
  <c r="AH25" i="10"/>
  <c r="K25" i="10" s="1"/>
  <c r="AH13" i="10"/>
  <c r="K13" i="10" s="1"/>
  <c r="AH28" i="10"/>
  <c r="K28" i="10" s="1"/>
  <c r="AH75" i="10"/>
  <c r="K75" i="10" s="1"/>
  <c r="AH68" i="10"/>
  <c r="K68" i="10" s="1"/>
  <c r="AH73" i="10"/>
  <c r="K73" i="10" s="1"/>
  <c r="AH47" i="10"/>
  <c r="K47" i="10" s="1"/>
  <c r="AH26" i="10"/>
  <c r="K26" i="10" s="1"/>
  <c r="AH70" i="10"/>
  <c r="K70" i="10" s="1"/>
  <c r="AH64" i="10"/>
  <c r="K64" i="10" s="1"/>
  <c r="AH77" i="10"/>
  <c r="K77" i="10" s="1"/>
  <c r="AH52" i="10"/>
  <c r="K52" i="10" s="1"/>
  <c r="AH35" i="10"/>
  <c r="K35" i="10" s="1"/>
  <c r="AH27" i="10"/>
  <c r="K27" i="10" s="1"/>
  <c r="AH12" i="10"/>
  <c r="K12" i="10" s="1"/>
  <c r="AH65" i="10"/>
  <c r="K65" i="10" s="1"/>
  <c r="AH33" i="10"/>
  <c r="K33" i="10" s="1"/>
  <c r="AH40" i="10"/>
  <c r="K40" i="10" s="1"/>
  <c r="AH20" i="10"/>
  <c r="K20" i="10" s="1"/>
  <c r="AH22" i="10"/>
  <c r="K22" i="10" s="1"/>
  <c r="AH19" i="10"/>
  <c r="K19" i="10" s="1"/>
  <c r="AH78" i="10"/>
  <c r="K78" i="10" s="1"/>
  <c r="AH69" i="10"/>
  <c r="K69" i="10" s="1"/>
  <c r="AH46" i="10"/>
  <c r="K46" i="10" s="1"/>
  <c r="AH38" i="10"/>
  <c r="K38" i="10" s="1"/>
  <c r="AH4" i="10"/>
  <c r="AH44" i="10"/>
  <c r="K44" i="10" s="1"/>
  <c r="AH74" i="10"/>
  <c r="K74" i="10" s="1"/>
  <c r="AH48" i="10"/>
  <c r="K48" i="10" s="1"/>
  <c r="AH9" i="10"/>
  <c r="K9" i="10" s="1"/>
  <c r="AH54" i="10"/>
  <c r="K54" i="10" s="1"/>
  <c r="AH79" i="10"/>
  <c r="K79" i="10" s="1"/>
  <c r="AH59" i="10"/>
  <c r="K59" i="10" s="1"/>
  <c r="AH21" i="10"/>
  <c r="K21" i="10" s="1"/>
  <c r="AH37" i="10"/>
  <c r="K37" i="10" s="1"/>
  <c r="AC2" i="10"/>
  <c r="T7" i="10" s="1"/>
  <c r="F6" i="11" s="1"/>
  <c r="G6" i="11" s="1"/>
  <c r="I6" i="11"/>
  <c r="H6" i="11" s="1"/>
  <c r="T6" i="10"/>
  <c r="B17" i="6"/>
  <c r="E22" i="6"/>
  <c r="I22" i="6" s="1"/>
  <c r="AH62" i="10"/>
  <c r="K62" i="10" s="1"/>
  <c r="AD2" i="10"/>
  <c r="U7" i="10" s="1"/>
  <c r="F7" i="11" s="1"/>
  <c r="G7" i="11" s="1"/>
  <c r="AD30" i="4"/>
  <c r="K34" i="4" s="1"/>
  <c r="AD32" i="4"/>
  <c r="K36" i="4" s="1"/>
  <c r="AD20" i="4"/>
  <c r="K24" i="4" s="1"/>
  <c r="I6" i="4"/>
  <c r="AD24" i="4"/>
  <c r="K28" i="4" s="1"/>
  <c r="AD15" i="4"/>
  <c r="K19" i="4" s="1"/>
  <c r="AD8" i="4"/>
  <c r="K12" i="4" s="1"/>
  <c r="AD75" i="4"/>
  <c r="V22" i="4" s="1"/>
  <c r="AD43" i="4"/>
  <c r="V29" i="4" s="1"/>
  <c r="AD45" i="4"/>
  <c r="V31" i="4" s="1"/>
  <c r="AD71" i="4"/>
  <c r="V18" i="4" s="1"/>
  <c r="AD66" i="4"/>
  <c r="V13" i="4" s="1"/>
  <c r="AD77" i="4"/>
  <c r="V24" i="4" s="1"/>
  <c r="AD26" i="4"/>
  <c r="K30" i="4" s="1"/>
  <c r="AD22" i="4"/>
  <c r="K26" i="4" s="1"/>
  <c r="AD18" i="4"/>
  <c r="K22" i="4" s="1"/>
  <c r="AD12" i="4"/>
  <c r="K16" i="4" s="1"/>
  <c r="AD38" i="4"/>
  <c r="K42" i="4" s="1"/>
  <c r="AD35" i="4"/>
  <c r="K39" i="4" s="1"/>
  <c r="AD41" i="4"/>
  <c r="V27" i="4" s="1"/>
  <c r="AD69" i="4"/>
  <c r="V16" i="4" s="1"/>
  <c r="AD56" i="4"/>
  <c r="V42" i="4" s="1"/>
  <c r="AD19" i="4"/>
  <c r="K23" i="4" s="1"/>
  <c r="AD72" i="4"/>
  <c r="V19" i="4" s="1"/>
  <c r="AD59" i="4"/>
  <c r="V6" i="4" s="1"/>
  <c r="AD36" i="4"/>
  <c r="K40" i="4" s="1"/>
  <c r="AD63" i="4"/>
  <c r="V10" i="4" s="1"/>
  <c r="AD49" i="4"/>
  <c r="V35" i="4" s="1"/>
  <c r="AD25" i="4"/>
  <c r="K29" i="4" s="1"/>
  <c r="AD16" i="4"/>
  <c r="K20" i="4" s="1"/>
  <c r="AD17" i="4"/>
  <c r="K21" i="4" s="1"/>
  <c r="AD27" i="4"/>
  <c r="K31" i="4" s="1"/>
  <c r="AD62" i="4"/>
  <c r="V9" i="4" s="1"/>
  <c r="AD9" i="4"/>
  <c r="K13" i="4" s="1"/>
  <c r="AD64" i="4"/>
  <c r="V11" i="4" s="1"/>
  <c r="AD37" i="4"/>
  <c r="K41" i="4" s="1"/>
  <c r="AD47" i="4"/>
  <c r="V33" i="4" s="1"/>
  <c r="AD6" i="4"/>
  <c r="K10" i="4" s="1"/>
  <c r="AD65" i="4"/>
  <c r="V12" i="4" s="1"/>
  <c r="AD61" i="4"/>
  <c r="V8" i="4" s="1"/>
  <c r="AD13" i="4"/>
  <c r="K17" i="4" s="1"/>
  <c r="AD10" i="4"/>
  <c r="K14" i="4" s="1"/>
  <c r="AD70" i="4"/>
  <c r="V17" i="4" s="1"/>
  <c r="AD76" i="4"/>
  <c r="V23" i="4" s="1"/>
  <c r="AD51" i="4"/>
  <c r="V37" i="4" s="1"/>
  <c r="AD44" i="4"/>
  <c r="V30" i="4" s="1"/>
  <c r="AD23" i="4"/>
  <c r="K27" i="4" s="1"/>
  <c r="AD4" i="4"/>
  <c r="AD54" i="4"/>
  <c r="V40" i="4" s="1"/>
  <c r="AD67" i="4"/>
  <c r="V14" i="4" s="1"/>
  <c r="AD34" i="4"/>
  <c r="K38" i="4" s="1"/>
  <c r="R6" i="10"/>
  <c r="I5" i="11"/>
  <c r="H5" i="11" s="1"/>
  <c r="AA2" i="10"/>
  <c r="R7" i="10" s="1"/>
  <c r="F5" i="11" s="1"/>
  <c r="G5" i="11" s="1"/>
</calcChain>
</file>

<file path=xl/comments1.xml><?xml version="1.0" encoding="utf-8"?>
<comments xmlns="http://schemas.openxmlformats.org/spreadsheetml/2006/main">
  <authors>
    <author>Auteur</author>
    <author>Régis Janvier</author>
  </authors>
  <commentList>
    <comment ref="V33" author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de 4.3 à 5.5 selon les fromages
</t>
        </r>
      </text>
    </comment>
    <comment ref="V41" author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3.6 pour poulet entier
</t>
        </r>
      </text>
    </comment>
    <comment ref="V42" author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valeur pour un Kg eq carcasse 25
valeur viande dessossée 28.5
</t>
        </r>
      </text>
    </comment>
    <comment ref="S52" authorId="1">
      <text>
        <r>
          <rPr>
            <b/>
            <sz val="9"/>
            <color indexed="81"/>
            <rFont val="Tahoma"/>
            <family val="2"/>
          </rPr>
          <t>Régis Janvier:</t>
        </r>
        <r>
          <rPr>
            <sz val="9"/>
            <color indexed="81"/>
            <rFont val="Tahoma"/>
            <family val="2"/>
          </rPr>
          <t xml:space="preserve">
prise en compte de l'acroissmement de vol 20% et accroissement de l'intensité carbone 33%
1.6= 1.2*1.33
L'intensité carbone est évalué sur le matériel informatique (nbre et taille des écrans).
</t>
        </r>
      </text>
    </comment>
    <comment ref="H106" authorId="1">
      <text>
        <r>
          <rPr>
            <b/>
            <sz val="9"/>
            <color indexed="81"/>
            <rFont val="Tahoma"/>
            <family val="2"/>
          </rPr>
          <t>Régis Janvier:</t>
        </r>
        <r>
          <rPr>
            <sz val="9"/>
            <color indexed="81"/>
            <rFont val="Tahoma"/>
            <family val="2"/>
          </rPr>
          <t xml:space="preserve">
CA GSB 25 10e9 € 
20% entretien
intensité co2 0.5 kg/€
estimation à 80% de PDM
estimation 25% entretien
</t>
        </r>
      </text>
    </comment>
    <comment ref="H110" authorId="1">
      <text>
        <r>
          <rPr>
            <b/>
            <sz val="9"/>
            <color indexed="81"/>
            <rFont val="Tahoma"/>
            <family val="2"/>
          </rPr>
          <t>Régis Janvier:</t>
        </r>
        <r>
          <rPr>
            <sz val="9"/>
            <color indexed="81"/>
            <rFont val="Tahoma"/>
            <family val="2"/>
          </rPr>
          <t xml:space="preserve">
425 kg/m2 ademe
bilans-ges-ademe.fr</t>
        </r>
      </text>
    </comment>
    <comment ref="N110" authorId="1">
      <text>
        <r>
          <rPr>
            <b/>
            <sz val="9"/>
            <color indexed="81"/>
            <rFont val="Tahoma"/>
            <family val="2"/>
          </rPr>
          <t>Régis Janvier:</t>
        </r>
        <r>
          <rPr>
            <sz val="9"/>
            <color indexed="81"/>
            <rFont val="Tahoma"/>
            <family val="2"/>
          </rPr>
          <t xml:space="preserve">
surf logt France
</t>
        </r>
      </text>
    </comment>
    <comment ref="P111" authorId="1">
      <text>
        <r>
          <rPr>
            <b/>
            <sz val="9"/>
            <color indexed="81"/>
            <rFont val="Tahoma"/>
            <family val="2"/>
          </rPr>
          <t>Régis Janvier:</t>
        </r>
        <r>
          <rPr>
            <sz val="9"/>
            <color indexed="81"/>
            <rFont val="Tahoma"/>
            <family val="2"/>
          </rPr>
          <t xml:space="preserve">
5 lgt/ha
 7 10e6 ha sur 50 ans
140 000 ha/an --&gt;40% logement
56 000 ha
</t>
        </r>
      </text>
    </comment>
    <comment ref="H112" authorId="1">
      <text>
        <r>
          <rPr>
            <b/>
            <sz val="9"/>
            <color indexed="81"/>
            <rFont val="Tahoma"/>
            <family val="2"/>
          </rPr>
          <t>Régis Janvier:</t>
        </r>
        <r>
          <rPr>
            <sz val="9"/>
            <color indexed="81"/>
            <rFont val="Tahoma"/>
            <family val="2"/>
          </rPr>
          <t xml:space="preserve">
sur une base de 500 m2 habitable par ha artificialisé
200 T CO2 lié à l'artificialisation</t>
        </r>
      </text>
    </comment>
  </commentList>
</comments>
</file>

<file path=xl/sharedStrings.xml><?xml version="1.0" encoding="utf-8"?>
<sst xmlns="http://schemas.openxmlformats.org/spreadsheetml/2006/main" count="327" uniqueCount="207">
  <si>
    <t>conso/pers</t>
  </si>
  <si>
    <t>CO2 eq/kg</t>
  </si>
  <si>
    <t>Empreinte carbone</t>
  </si>
  <si>
    <t>g/j</t>
  </si>
  <si>
    <t xml:space="preserve"> kg/an</t>
  </si>
  <si>
    <t>Alimentation</t>
  </si>
  <si>
    <t>Autres</t>
  </si>
  <si>
    <t>Eau en bouteilles</t>
  </si>
  <si>
    <t>https://eaumineralenaturelle.fr/chambre-syndicale/leau-minerale-en-chiffres</t>
  </si>
  <si>
    <t>Soft drinks ou BRSA</t>
  </si>
  <si>
    <t>https://www.lsa-conso.fr/decouvrez-la-consommation-d-eaux-et-de-soft-en-europe-en-temps-reel-infographie-interactive,216333</t>
  </si>
  <si>
    <t>Vins</t>
  </si>
  <si>
    <t>http://www.vinetsociete.fr/magazine/article/le-vin-en-quelques-chiffres-cles</t>
  </si>
  <si>
    <t>Bierre</t>
  </si>
  <si>
    <t>http://www.lefigaro.fr/conso/2018/03/17/20010-20180317ARTFIG00024-apres-36-ans-de-recul-la-consommation-de-biere-repart-en-france.php</t>
  </si>
  <si>
    <t>riz</t>
  </si>
  <si>
    <t>https://www.passioncereales.fr/dossier-thematique/les-filieres-riz-et-autres-cereales-en-chiffres</t>
  </si>
  <si>
    <t>pain</t>
  </si>
  <si>
    <t>Pomme de terre</t>
  </si>
  <si>
    <t>http://agreste.agriculture.gouv.fr/IMG/pdf/Gaf2017p100-105.pdf</t>
  </si>
  <si>
    <t>Huiles</t>
  </si>
  <si>
    <t>Sucre</t>
  </si>
  <si>
    <t>Fruit et légumes</t>
  </si>
  <si>
    <t>https://www.bonial.fr/info/conso-boissons-sans-alcool-europe/</t>
  </si>
  <si>
    <t>Non réparti</t>
  </si>
  <si>
    <t>Produits laitiers</t>
  </si>
  <si>
    <t>lait</t>
  </si>
  <si>
    <t>http://agriculture.gouv.fr/infographie-production-et-consommation-de-produits-laitiers-en-France</t>
  </si>
  <si>
    <t>yaourt</t>
  </si>
  <si>
    <t>fromage</t>
  </si>
  <si>
    <t>fromage frais</t>
  </si>
  <si>
    <t>https://cnd.elsevierresource.com/les-produits-laitiers-en-france-evolution-du-marche-et-place-dans-la-diete</t>
  </si>
  <si>
    <t>Beurre</t>
  </si>
  <si>
    <t>Œuf</t>
  </si>
  <si>
    <t>http://www.franceagrimer.fr/content/download/39054/361017/file/Fiche%20fili%C3%A8re%202014%20-%20Oeufs%20-%20FR.pdf</t>
  </si>
  <si>
    <t>Viandes</t>
  </si>
  <si>
    <t>poisson</t>
  </si>
  <si>
    <t>http://www.franceagrimer.fr/content/download/52763/508694/file/STA-MER-CONSO%202016-juil2017.pdf</t>
  </si>
  <si>
    <t>dont porc</t>
  </si>
  <si>
    <t>http://www.franceagrimer.fr/content/download/40104/372599/file/STA-VIA-CONSO%202014-aout2015.pdf</t>
  </si>
  <si>
    <t>dont volailles</t>
  </si>
  <si>
    <t>dont bœuf (hors veau)</t>
  </si>
  <si>
    <t>dont veau</t>
  </si>
  <si>
    <t>dont ovin caprin</t>
  </si>
  <si>
    <t>autres</t>
  </si>
  <si>
    <t>Biens de consommations</t>
  </si>
  <si>
    <t>Habillement</t>
  </si>
  <si>
    <t>Biens courants Vétements</t>
  </si>
  <si>
    <t>Autres Bien et Services</t>
  </si>
  <si>
    <t>Informatiques HIFI</t>
  </si>
  <si>
    <t>T</t>
  </si>
  <si>
    <t>Fret et distribution</t>
  </si>
  <si>
    <t>Distribution</t>
  </si>
  <si>
    <t>L</t>
  </si>
  <si>
    <t>Gros électroménager</t>
  </si>
  <si>
    <t>Mobilier</t>
  </si>
  <si>
    <t>autres biens durables</t>
  </si>
  <si>
    <t xml:space="preserve">Services privés (Resto Banques…) </t>
  </si>
  <si>
    <t>Voitures (achat)</t>
  </si>
  <si>
    <t>Transports</t>
  </si>
  <si>
    <t>Transport</t>
  </si>
  <si>
    <t>Voiture</t>
  </si>
  <si>
    <t>Avion</t>
  </si>
  <si>
    <t>Services</t>
  </si>
  <si>
    <t>Serv Pub</t>
  </si>
  <si>
    <t>Services d'utilité publique</t>
  </si>
  <si>
    <t>Internet</t>
  </si>
  <si>
    <t>Logement</t>
  </si>
  <si>
    <t>Energie des logements</t>
  </si>
  <si>
    <t>Gaz</t>
  </si>
  <si>
    <t>PP</t>
  </si>
  <si>
    <t>Spécifique</t>
  </si>
  <si>
    <t>Electricité</t>
  </si>
  <si>
    <t>chaleur reseau</t>
  </si>
  <si>
    <t>eau et déchets</t>
  </si>
  <si>
    <t>Construction gros entretien logement</t>
  </si>
  <si>
    <t>Neufs</t>
  </si>
  <si>
    <t>Rénovation</t>
  </si>
  <si>
    <t>Equipement des logements</t>
  </si>
  <si>
    <t>renovation conventionnelle</t>
  </si>
  <si>
    <t>kg/m2</t>
  </si>
  <si>
    <t>https://www.novethic.fr/actualite/energie/efficacite-energetique/isr-rse/energie-grise-la-face-cachee-de-l-eco-construction-122077.html</t>
  </si>
  <si>
    <t>renov eco</t>
  </si>
  <si>
    <t>http://www.o-immobilierdurable.fr/wp-content/uploads/2016/12/SINTEO_Livre-Blanc-bas-carbone.pdf</t>
  </si>
  <si>
    <t>Construction</t>
  </si>
  <si>
    <t>m2 logement construit/an</t>
  </si>
  <si>
    <t>CO2/m2</t>
  </si>
  <si>
    <t>CO2/an</t>
  </si>
  <si>
    <t>CO2/hab</t>
  </si>
  <si>
    <t>Hifi</t>
  </si>
  <si>
    <t>smartphone</t>
  </si>
  <si>
    <t>https://www.zdnet.fr/actualites/chiffres-cles-les-ventes-de-mobiles-et-de-smartphones-39789928.htm</t>
  </si>
  <si>
    <t>Tablettes</t>
  </si>
  <si>
    <t>https://www.zdnet.fr/actualites/chiffres-cles-le-marche-des-tablettes-39789571.htm</t>
  </si>
  <si>
    <t>Notebook</t>
  </si>
  <si>
    <t>PC bureau</t>
  </si>
  <si>
    <t>netbook</t>
  </si>
  <si>
    <t>pc hybrides</t>
  </si>
  <si>
    <t>Voiture (usage)</t>
  </si>
  <si>
    <t>Services Publics,  Santé</t>
  </si>
  <si>
    <t>Boissons</t>
  </si>
  <si>
    <t>Alcool</t>
  </si>
  <si>
    <t>Sans alcool (soft drink)</t>
  </si>
  <si>
    <t>Produits laitiers et œufs</t>
  </si>
  <si>
    <t>Viandes et Poisson</t>
  </si>
  <si>
    <t>Ruminants</t>
  </si>
  <si>
    <t>Produit de la mer</t>
  </si>
  <si>
    <t xml:space="preserve">Habillements </t>
  </si>
  <si>
    <t>Informatiques électroniques</t>
  </si>
  <si>
    <t>Energie et utilités</t>
  </si>
  <si>
    <t>Autres biens</t>
  </si>
  <si>
    <t>Autres transport de personnes</t>
  </si>
  <si>
    <t>Construction &amp; gros entretien</t>
  </si>
  <si>
    <t>CO2 eq/u</t>
  </si>
  <si>
    <t>yaourt &amp; Pdt frais</t>
  </si>
  <si>
    <t xml:space="preserve"> </t>
  </si>
  <si>
    <t>aménagement</t>
  </si>
  <si>
    <t>tri</t>
  </si>
  <si>
    <t>titre</t>
  </si>
  <si>
    <t>Train et bus</t>
  </si>
  <si>
    <t>Viandes et Poissons</t>
  </si>
  <si>
    <t>Trains et bus</t>
  </si>
  <si>
    <t>Fret et messagerie</t>
  </si>
  <si>
    <t>Autres Biens et Services</t>
  </si>
  <si>
    <t>Bien conso</t>
  </si>
  <si>
    <t>(Fruits et légumes, féculents plats élaborés,  condiments, etc )</t>
  </si>
  <si>
    <t>Végétaux, plats élaborés ….</t>
  </si>
  <si>
    <t>Féculents et bases</t>
  </si>
  <si>
    <t>Pates</t>
  </si>
  <si>
    <t>Condiments, café, déssert viénoiserie…</t>
  </si>
  <si>
    <t>(synthèse entre import et produit de saison)</t>
  </si>
  <si>
    <t>calcul artificialisation</t>
  </si>
  <si>
    <t>T co2/ha Agri--&gt;ville</t>
  </si>
  <si>
    <t>kg co2/m2 de voirie</t>
  </si>
  <si>
    <t>m2 voirie/ha</t>
  </si>
  <si>
    <t>https://www.lesechos.fr/13/01/2018/lesechos.fr/0301123997829_quand-la-ville-ensevelit-les-sols.htm</t>
  </si>
  <si>
    <t>surface</t>
  </si>
  <si>
    <t>https://www.ademe.fr/sites/default/files/assets/documents/ademe_mag108_dossier.pdf</t>
  </si>
  <si>
    <t xml:space="preserve">autres travaux / entretiens </t>
  </si>
  <si>
    <t>Bricolage</t>
  </si>
  <si>
    <t>https://www.economie-magazine.com/dossier-30-marche-bricolage-france.html</t>
  </si>
  <si>
    <t>http://www.fmbricolage.com/page?n=40</t>
  </si>
  <si>
    <t>emission mondiale</t>
  </si>
  <si>
    <t>gT</t>
  </si>
  <si>
    <t>millions</t>
  </si>
  <si>
    <t>France</t>
  </si>
  <si>
    <t>kg</t>
  </si>
  <si>
    <t>quotepart atribuable au français</t>
  </si>
  <si>
    <t>https://theshiftproject.org/wp-content/uploads/2018/10/2018-10-04_Rapport_Pour-une-sobri%C3%A9t%C3%A9-num%C3%A9rique_Rapport_The-Shift-Project.pdf</t>
  </si>
  <si>
    <t>https://www.internetworldstats.com/stats4.htm</t>
  </si>
  <si>
    <t>Internet (usage des réseaux)</t>
  </si>
  <si>
    <t>Rénovations</t>
  </si>
  <si>
    <t>Entretiens bricolage</t>
  </si>
  <si>
    <t>Internet (serveur/réseau)</t>
  </si>
  <si>
    <t>Achat et usages Internet et technologies</t>
  </si>
  <si>
    <t>kwh/m2/an</t>
  </si>
  <si>
    <t>m2/pers</t>
  </si>
  <si>
    <t>kwh/pers/an</t>
  </si>
  <si>
    <t>Energie primaire</t>
  </si>
  <si>
    <t>période 1970-1973</t>
  </si>
  <si>
    <t>période 2008-2013</t>
  </si>
  <si>
    <t>Surface</t>
  </si>
  <si>
    <t>Consommation</t>
  </si>
  <si>
    <t>Evolution</t>
  </si>
  <si>
    <t>Consommation d'énergie par personne</t>
  </si>
  <si>
    <t>Empreinte Carbone Français</t>
  </si>
  <si>
    <t>Internet (usages)</t>
  </si>
  <si>
    <t>Entetiens bricolage</t>
  </si>
  <si>
    <t>Base</t>
  </si>
  <si>
    <t>Physio</t>
  </si>
  <si>
    <t>Secu</t>
  </si>
  <si>
    <t>Motivationnel</t>
  </si>
  <si>
    <t>Sur la base d'une économie circulaire sobre. Basé sur la réutilisation des objets</t>
  </si>
  <si>
    <t>Base de pondération</t>
  </si>
  <si>
    <t xml:space="preserve">Selon le PNNS, il serait possible de réduire notre consommation de viande de sans risques pour la santé. WWF propose de réduire cette consommation de 66% pour les ruminants, et 40% pour les poissons sauvages, et de conserver identique notre consommation de volaille.
Ces produits ont été remplacé par 50% fruits et légumes et 50% de féculents. soit une économie selon le ratio ((306*50%+46*50%)/505 )=35 % sur la quotepart substituée  </t>
  </si>
  <si>
    <t>Nous sommes à plus de 5.5 écran par foyer pour 2.2 personnes. Cela ne répond pas à un besoin de base. Les services privés idem. Il serait probablement possible de complétement exclure cette catégories des besoins de base. Nous en conservons 20% (prise en compte des besoins minimum de communication, de services etc...)</t>
  </si>
  <si>
    <t>P</t>
  </si>
  <si>
    <t>S</t>
  </si>
  <si>
    <t>G</t>
  </si>
  <si>
    <t>H&amp;A</t>
  </si>
  <si>
    <t>Sur la base de 22m2 d'habitat par personne, réduction des besoins d'énergie au prorata
Economie de 10% en chauffage en respectant les préconisatons de températures.
Il serait en outre possible de réduire notre consommation des usages spécifiques de l'énergie (fer à repasser , taille des écrans..etc...)
Le non-achat de produits suremballés réduira notre poubelle, et donc son traitement.</t>
  </si>
  <si>
    <t>Quotepart du neuf correspondant à la construction de 5.3 millions de m2 sur base de 22m2/pers et d'un  accroissement de 240 000 pers/an
Quotepart entretien-renov Sur la base du besoin de rénovation thermique de l'habitat</t>
  </si>
  <si>
    <t>En Europe, 80% des vetements sont jetés encore neuf ou peu usagé.</t>
  </si>
  <si>
    <t>La répartition des services publiques est peu aisée en l'absence de données détaillées.
Les dépenses de santé sont assimilables à des besoins physiologiques ou de sécurité. Il en va de même pour une partie des dépenses de police et militaires (sécurité) ou d'enseignement. 
Les dépenses d'enseignement répondent aussi à des besoins d'apartenance groupale ou de hiérarchie sociale.</t>
  </si>
  <si>
    <t>Répartition</t>
  </si>
  <si>
    <t>Répartition de la consommation</t>
  </si>
  <si>
    <t>Groupe</t>
  </si>
  <si>
    <t>Sécurité</t>
  </si>
  <si>
    <t>Appartenance</t>
  </si>
  <si>
    <t>Hierarchie et accomplissement</t>
  </si>
  <si>
    <t>100 kcal de produits laitiers émettent en moyenne 297 g de CO2. La substitution de ceux-ci par des fruits et légumes 50% et des feculent 50%, ne serait que peu avantageuse. Le ratio sera de  (306*.5+46*.5)/297)=59% sur la quotepart substituée.
 Le PNNS recommande de conserver cette famille de produit dans l'alimentation. 
Toutefois, nous retenons une baisse de consommation de 40%</t>
  </si>
  <si>
    <t>En France  20% de l'usage des véhicules est liées aux déplacements professionnels</t>
  </si>
  <si>
    <t>L'alcool et les sodas sont reconnus comme néfastes pour la santé. L'eau en bouteille n'est pas utile.</t>
  </si>
  <si>
    <t>Retranchement d'une partie d'aliment non apportant de nutriments et à fort impact (café thé… etc ) ou fortement transformés.</t>
  </si>
  <si>
    <t>Source</t>
  </si>
  <si>
    <t>idem achat voiture (poids plus lourd mais moins de vente moins nombreuse)intensité carbone en augmentation (électronique)</t>
  </si>
  <si>
    <t>taux d'actualisation</t>
  </si>
  <si>
    <t>2015 / 2016</t>
  </si>
  <si>
    <t>Année 2010 (Carbone 4)</t>
  </si>
  <si>
    <t>x</t>
  </si>
  <si>
    <t>2012</t>
  </si>
  <si>
    <t>chgt cat</t>
  </si>
  <si>
    <t>internautes mondiaux</t>
  </si>
  <si>
    <t>nb unité (millier)</t>
  </si>
  <si>
    <t>u/f</t>
  </si>
  <si>
    <t>(donnée insee % VOL)</t>
  </si>
  <si>
    <t>part lié à l'usage des réseaux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</si>
</sst>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%"/>
    <numFmt numFmtId="166" formatCode="#,##0_ ;\-#,##0\ "/>
    <numFmt numFmtId="167" formatCode="_-* #,##0\ _€_-;\-* #,##0\ _€_-;_-* &quot;-&quot;??\ _€_-;_-@_-"/>
    <numFmt numFmtId="168" formatCode="_(* #,##0_);_(* \(#,##0\);_(* &quot;-&quot;_);_(@_)"/>
    <numFmt numFmtId="169" formatCode="_-* #,##0.00_-;\-* #,##0.00_-;_-* &quot;-&quot;??_-;_-@_-"/>
    <numFmt numFmtId="170" formatCode="_(* #,##0.00_);_(* \(#,##0.00\);_(* &quot;-&quot;??_);_(@_)"/>
    <numFmt numFmtId="171" formatCode="_-* #,##0.00\ _F_-;\-* #,##0.00\ _F_-;_-* &quot;-&quot;??\ _F_-;_-@_-"/>
    <numFmt numFmtId="172" formatCode="_-* #,##0.00\ _D_M_-;\-* #,##0.00\ _D_M_-;_-* &quot;-&quot;??\ _D_M_-;_-@_-"/>
    <numFmt numFmtId="173" formatCode="_(&quot;$&quot;* #,##0_);_(&quot;$&quot;* \(#,##0\);_(&quot;$&quot;* &quot;-&quot;_);_(@_)"/>
    <numFmt numFmtId="174" formatCode="#,##0.000"/>
    <numFmt numFmtId="175" formatCode="#,##0.0000"/>
    <numFmt numFmtId="176" formatCode="_-* #,##0\ _D_M_-;\-* #,##0\ _D_M_-;_-* &quot;-&quot;\ _D_M_-;_-@_-"/>
    <numFmt numFmtId="177" formatCode="#,###,##0"/>
    <numFmt numFmtId="178" formatCode="_-* #,##0.00\ &quot;F&quot;_-;\-* #,##0.00\ &quot;F&quot;_-;_-* &quot;-&quot;??\ &quot;F&quot;_-;_-@_-"/>
    <numFmt numFmtId="179" formatCode="\$#,##0\ ;\(\$#,##0\)"/>
    <numFmt numFmtId="180" formatCode="\(##\);\(##\)"/>
    <numFmt numFmtId="181" formatCode="_-* #,##0\ &quot;DM&quot;_-;\-* #,##0\ &quot;DM&quot;_-;_-* &quot;-&quot;\ &quot;DM&quot;_-;_-@_-"/>
    <numFmt numFmtId="182" formatCode="_-* #,##0.00\ &quot;DM&quot;_-;\-* #,##0.00\ &quot;DM&quot;_-;_-* &quot;-&quot;??\ &quot;DM&quot;_-;_-@_-"/>
    <numFmt numFmtId="183" formatCode="#\ ###\ ##0;&quot;-&quot;#\ ###\ ##0"/>
    <numFmt numFmtId="184" formatCode="#,##0.0\ &quot;F&quot;"/>
    <numFmt numFmtId="185" formatCode="#,##0.00\ &quot;F&quot;"/>
    <numFmt numFmtId="186" formatCode="#,##0\ &quot;F&quot;"/>
    <numFmt numFmtId="187" formatCode="_-&quot;F&quot;\ * #,##0_-;_-&quot;F&quot;\ * #,##0\-;_-&quot;F&quot;\ * &quot;-&quot;_-;_-@_-"/>
    <numFmt numFmtId="188" formatCode="_-&quot;F&quot;\ * #,##0.00_-;_-&quot;F&quot;\ * #,##0.00\-;_-&quot;F&quot;\ * &quot;-&quot;??_-;_-@_-"/>
    <numFmt numFmtId="189" formatCode="0.0"/>
  </numFmts>
  <fonts count="1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0"/>
      <color rgb="FF00B05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i/>
      <sz val="10"/>
      <color rgb="FF0070C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0"/>
      <color indexed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</font>
    <font>
      <sz val="11"/>
      <color indexed="9"/>
      <name val="Calibri"/>
      <family val="2"/>
      <charset val="186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86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186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186"/>
    </font>
    <font>
      <sz val="10"/>
      <color indexed="23"/>
      <name val="Courier New"/>
      <family val="3"/>
    </font>
    <font>
      <sz val="10"/>
      <name val="Courier New"/>
      <family val="3"/>
    </font>
    <font>
      <b/>
      <sz val="10"/>
      <color indexed="9"/>
      <name val="Arial"/>
      <family val="2"/>
    </font>
    <font>
      <b/>
      <sz val="10"/>
      <name val="Courier New"/>
      <family val="3"/>
    </font>
    <font>
      <sz val="8"/>
      <name val="Courier New"/>
      <family val="3"/>
    </font>
    <font>
      <b/>
      <i/>
      <sz val="10"/>
      <color indexed="60"/>
      <name val="Courier New"/>
      <family val="3"/>
    </font>
    <font>
      <i/>
      <sz val="10"/>
      <color indexed="12"/>
      <name val="Courier New"/>
      <family val="3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Helvetica"/>
      <family val="2"/>
    </font>
    <font>
      <b/>
      <sz val="11"/>
      <color indexed="12"/>
      <name val="Arial"/>
      <family val="2"/>
      <charset val="204"/>
    </font>
    <font>
      <sz val="12"/>
      <color indexed="24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1"/>
      <color indexed="62"/>
      <name val="Calibri"/>
      <family val="2"/>
    </font>
    <font>
      <sz val="11"/>
      <color indexed="62"/>
      <name val="Calibri"/>
      <family val="2"/>
      <charset val="186"/>
    </font>
    <font>
      <sz val="18"/>
      <color indexed="24"/>
      <name val="Arial"/>
      <family val="2"/>
    </font>
    <font>
      <sz val="8"/>
      <color indexed="24"/>
      <name val="Arial"/>
      <family val="2"/>
    </font>
    <font>
      <i/>
      <sz val="8"/>
      <color indexed="57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86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186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52"/>
      <name val="Calibri"/>
      <family val="2"/>
    </font>
    <font>
      <u/>
      <sz val="10"/>
      <color indexed="12"/>
      <name val="Arial"/>
      <family val="2"/>
    </font>
    <font>
      <u/>
      <sz val="9"/>
      <color indexed="12"/>
      <name val="Arial"/>
      <family val="2"/>
    </font>
    <font>
      <sz val="10"/>
      <color indexed="8"/>
      <name val="Arial"/>
      <family val="2"/>
    </font>
    <font>
      <sz val="11"/>
      <color indexed="52"/>
      <name val="Calibri"/>
      <family val="2"/>
      <charset val="186"/>
    </font>
    <font>
      <sz val="10"/>
      <name val="MS Sans Serif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charset val="186"/>
    </font>
    <font>
      <sz val="11"/>
      <color indexed="19"/>
      <name val="Calibri"/>
      <family val="2"/>
    </font>
    <font>
      <sz val="9"/>
      <name val="Arial"/>
      <family val="2"/>
    </font>
    <font>
      <sz val="10"/>
      <name val="Arial"/>
      <family val="2"/>
      <charset val="186"/>
    </font>
    <font>
      <sz val="10"/>
      <name val="Times New Roman"/>
      <family val="1"/>
    </font>
    <font>
      <sz val="12"/>
      <name val="Arial"/>
      <family val="2"/>
    </font>
    <font>
      <sz val="10"/>
      <name val="Arial"/>
      <family val="2"/>
      <charset val="204"/>
    </font>
    <font>
      <sz val="11"/>
      <name val="Arial"/>
      <family val="2"/>
    </font>
    <font>
      <sz val="10"/>
      <name val="Arial CE"/>
      <charset val="238"/>
    </font>
    <font>
      <sz val="10"/>
      <name val="Helv"/>
    </font>
    <font>
      <sz val="10"/>
      <color indexed="54"/>
      <name val="Arial"/>
      <family val="2"/>
    </font>
    <font>
      <b/>
      <sz val="9"/>
      <name val="Arial"/>
      <family val="2"/>
    </font>
    <font>
      <b/>
      <vertAlign val="superscript"/>
      <sz val="12"/>
      <color indexed="54"/>
      <name val="Arial"/>
      <family val="2"/>
    </font>
    <font>
      <b/>
      <sz val="18"/>
      <color indexed="56"/>
      <name val="Cambria"/>
      <family val="2"/>
    </font>
    <font>
      <i/>
      <sz val="8"/>
      <color indexed="38"/>
      <name val="Arial"/>
      <family val="2"/>
    </font>
    <font>
      <sz val="12"/>
      <name val="Courier"/>
      <family val="3"/>
    </font>
    <font>
      <sz val="6.5"/>
      <name val="Univers"/>
      <family val="2"/>
    </font>
    <font>
      <sz val="9"/>
      <name val="Verdana"/>
      <family val="2"/>
    </font>
    <font>
      <sz val="10"/>
      <color indexed="21"/>
      <name val="Courier New"/>
      <family val="3"/>
    </font>
    <font>
      <sz val="10"/>
      <color indexed="17"/>
      <name val="Courier New"/>
      <family val="3"/>
    </font>
    <font>
      <i/>
      <sz val="9"/>
      <color indexed="60"/>
      <name val="Verdana"/>
      <family val="2"/>
    </font>
    <font>
      <sz val="9"/>
      <color indexed="32"/>
      <name val="Verdana"/>
      <family val="2"/>
    </font>
    <font>
      <sz val="9"/>
      <color indexed="12"/>
      <name val="Verdana"/>
      <family val="2"/>
    </font>
    <font>
      <b/>
      <sz val="9"/>
      <name val="Verdana"/>
      <family val="2"/>
    </font>
    <font>
      <b/>
      <sz val="10"/>
      <color indexed="21"/>
      <name val="Courier New"/>
      <family val="3"/>
    </font>
    <font>
      <b/>
      <sz val="10"/>
      <color indexed="17"/>
      <name val="Courier New"/>
      <family val="3"/>
    </font>
    <font>
      <b/>
      <i/>
      <sz val="9"/>
      <color indexed="60"/>
      <name val="Verdana"/>
      <family val="2"/>
    </font>
    <font>
      <b/>
      <sz val="9"/>
      <color indexed="32"/>
      <name val="Verdana"/>
      <family val="2"/>
    </font>
    <font>
      <b/>
      <sz val="9"/>
      <color indexed="12"/>
      <name val="Verdana"/>
      <family val="2"/>
    </font>
    <font>
      <sz val="10"/>
      <color indexed="27"/>
      <name val="Arial"/>
      <family val="2"/>
    </font>
    <font>
      <sz val="10"/>
      <color indexed="42"/>
      <name val="Arial"/>
      <family val="2"/>
    </font>
    <font>
      <b/>
      <sz val="18"/>
      <color indexed="56"/>
      <name val="Cambria"/>
      <family val="2"/>
      <charset val="186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8"/>
      <color indexed="50"/>
      <name val="Arial"/>
      <family val="2"/>
    </font>
    <font>
      <sz val="11"/>
      <color indexed="10"/>
      <name val="Calibri"/>
      <family val="2"/>
      <charset val="186"/>
    </font>
    <font>
      <b/>
      <sz val="12"/>
      <color indexed="12"/>
      <name val="Arial"/>
      <family val="2"/>
    </font>
    <font>
      <u/>
      <sz val="10"/>
      <color indexed="12"/>
      <name val="Times New Roman"/>
      <family val="1"/>
      <charset val="186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b/>
      <sz val="10"/>
      <color rgb="FF7030A0"/>
      <name val="Arial"/>
      <family val="2"/>
    </font>
    <font>
      <sz val="10"/>
      <color rgb="FF7030A0"/>
      <name val="Arial"/>
      <family val="2"/>
    </font>
    <font>
      <sz val="10"/>
      <color rgb="FF0070C0"/>
      <name val="Arial"/>
      <family val="2"/>
    </font>
    <font>
      <sz val="14"/>
      <name val="Arial"/>
      <family val="2"/>
    </font>
    <font>
      <b/>
      <u/>
      <sz val="18"/>
      <name val="Arial"/>
      <family val="2"/>
    </font>
    <font>
      <b/>
      <i/>
      <sz val="11"/>
      <color rgb="FFFF0000"/>
      <name val="Arial"/>
      <family val="2"/>
    </font>
    <font>
      <b/>
      <sz val="18"/>
      <color rgb="FFFF0000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rgb="FFFF0000"/>
      <name val="Arial"/>
      <family val="2"/>
    </font>
    <font>
      <b/>
      <u/>
      <sz val="20"/>
      <name val="Arial"/>
      <family val="2"/>
    </font>
  </fonts>
  <fills count="81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10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mediumGray">
        <fgColor indexed="41"/>
        <bgColor indexed="14"/>
      </patternFill>
    </fill>
    <fill>
      <patternFill patternType="mediumGray">
        <fgColor indexed="44"/>
        <bgColor indexed="45"/>
      </patternFill>
    </fill>
    <fill>
      <patternFill patternType="mediumGray">
        <fgColor indexed="9"/>
        <bgColor indexed="45"/>
      </patternFill>
    </fill>
    <fill>
      <patternFill patternType="solid">
        <fgColor indexed="62"/>
        <bgColor indexed="64"/>
      </patternFill>
    </fill>
    <fill>
      <patternFill patternType="mediumGray">
        <fgColor indexed="9"/>
        <bgColor indexed="43"/>
      </patternFill>
    </fill>
    <fill>
      <patternFill patternType="solid">
        <fgColor indexed="43"/>
        <bgColor indexed="64"/>
      </patternFill>
    </fill>
    <fill>
      <patternFill patternType="mediumGray">
        <fgColor indexed="9"/>
        <bgColor indexed="17"/>
      </patternFill>
    </fill>
    <fill>
      <patternFill patternType="solid">
        <fgColor indexed="17"/>
        <bgColor indexed="64"/>
      </patternFill>
    </fill>
    <fill>
      <patternFill patternType="darkGray">
        <fgColor indexed="9"/>
        <bgColor indexed="42"/>
      </patternFill>
    </fill>
    <fill>
      <patternFill patternType="darkGray">
        <fgColor indexed="9"/>
        <bgColor indexed="50"/>
      </patternFill>
    </fill>
    <fill>
      <patternFill patternType="darkGray">
        <fgColor indexed="9"/>
        <bgColor indexed="11"/>
      </patternFill>
    </fill>
    <fill>
      <patternFill patternType="darkGray">
        <fgColor indexed="50"/>
        <bgColor indexed="17"/>
      </patternFill>
    </fill>
    <fill>
      <patternFill patternType="mediumGray">
        <fgColor indexed="9"/>
        <bgColor indexed="50"/>
      </patternFill>
    </fill>
    <fill>
      <patternFill patternType="mediumGray">
        <fgColor indexed="9"/>
        <bgColor indexed="41"/>
      </patternFill>
    </fill>
    <fill>
      <patternFill patternType="lightGray">
        <fgColor indexed="9"/>
        <bgColor indexed="29"/>
      </patternFill>
    </fill>
    <fill>
      <patternFill patternType="mediumGray">
        <fgColor indexed="9"/>
        <bgColor indexed="29"/>
      </patternFill>
    </fill>
    <fill>
      <patternFill patternType="lightGray">
        <fgColor indexed="9"/>
        <bgColor indexed="49"/>
      </patternFill>
    </fill>
    <fill>
      <patternFill patternType="mediumGray">
        <fgColor indexed="9"/>
        <bgColor indexed="49"/>
      </patternFill>
    </fill>
    <fill>
      <patternFill patternType="mediumGray">
        <fgColor indexed="9"/>
        <bgColor indexed="55"/>
      </patternFill>
    </fill>
    <fill>
      <patternFill patternType="mediumGray">
        <fgColor indexed="9"/>
        <bgColor indexed="22"/>
      </patternFill>
    </fill>
    <fill>
      <patternFill patternType="solid">
        <fgColor indexed="52"/>
        <bgColor indexed="64"/>
      </patternFill>
    </fill>
    <fill>
      <patternFill patternType="mediumGray">
        <fgColor indexed="9"/>
        <bgColor indexed="52"/>
      </patternFill>
    </fill>
    <fill>
      <patternFill patternType="solid">
        <fgColor indexed="51"/>
        <bgColor indexed="64"/>
      </patternFill>
    </fill>
    <fill>
      <patternFill patternType="mediumGray">
        <fgColor indexed="9"/>
        <bgColor indexed="51"/>
      </patternFill>
    </fill>
    <fill>
      <patternFill patternType="mediumGray">
        <fgColor indexed="9"/>
        <bgColor indexed="13"/>
      </patternFill>
    </fill>
    <fill>
      <patternFill patternType="solid">
        <fgColor indexed="10"/>
        <bgColor indexed="60"/>
      </patternFill>
    </fill>
    <fill>
      <patternFill patternType="solid">
        <fgColor indexed="49"/>
        <bgColor indexed="64"/>
      </patternFill>
    </fill>
    <fill>
      <patternFill patternType="solid">
        <fgColor indexed="23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55"/>
        <bgColor indexed="64"/>
      </patternFill>
    </fill>
    <fill>
      <patternFill patternType="darkTrellis"/>
    </fill>
    <fill>
      <patternFill patternType="mediumGray">
        <fgColor indexed="9"/>
        <bgColor indexed="46"/>
      </patternFill>
    </fill>
    <fill>
      <patternFill patternType="mediumGray">
        <fgColor indexed="9"/>
        <bgColor indexed="40"/>
      </patternFill>
    </fill>
    <fill>
      <patternFill patternType="mediumGray">
        <fgColor indexed="9"/>
        <bgColor indexed="31"/>
      </patternFill>
    </fill>
    <fill>
      <patternFill patternType="mediumGray">
        <fgColor indexed="9"/>
        <bgColor indexed="44"/>
      </patternFill>
    </fill>
    <fill>
      <patternFill patternType="solid">
        <fgColor indexed="57"/>
        <bgColor indexed="9"/>
      </patternFill>
    </fill>
    <fill>
      <patternFill patternType="mediumGray">
        <fgColor indexed="22"/>
        <bgColor indexed="31"/>
      </patternFill>
    </fill>
    <fill>
      <patternFill patternType="mediumGray">
        <fgColor indexed="22"/>
        <bgColor indexed="44"/>
      </patternFill>
    </fill>
    <fill>
      <patternFill patternType="mediumGray">
        <fgColor indexed="15"/>
        <bgColor indexed="27"/>
      </patternFill>
    </fill>
    <fill>
      <patternFill patternType="solid">
        <fgColor indexed="42"/>
        <bgColor indexed="41"/>
      </patternFill>
    </fill>
    <fill>
      <patternFill patternType="mediumGray">
        <fgColor indexed="42"/>
        <bgColor indexed="42"/>
      </patternFill>
    </fill>
    <fill>
      <patternFill patternType="solid">
        <fgColor rgb="FFF6FDB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DFFC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rgb="FFFFC000"/>
      </left>
      <right style="thick">
        <color rgb="FFFFC000"/>
      </right>
      <top style="thick">
        <color rgb="FFFFC000"/>
      </top>
      <bottom style="thick">
        <color rgb="FFFFC000"/>
      </bottom>
      <diagonal/>
    </border>
    <border>
      <left style="thick">
        <color rgb="FF00B050"/>
      </left>
      <right/>
      <top style="thick">
        <color rgb="FF00B050"/>
      </top>
      <bottom/>
      <diagonal/>
    </border>
    <border>
      <left/>
      <right/>
      <top style="thick">
        <color rgb="FF00B050"/>
      </top>
      <bottom/>
      <diagonal/>
    </border>
    <border>
      <left/>
      <right style="thick">
        <color rgb="FF00B050"/>
      </right>
      <top style="thick">
        <color rgb="FF00B050"/>
      </top>
      <bottom/>
      <diagonal/>
    </border>
    <border>
      <left style="thick">
        <color rgb="FF00B050"/>
      </left>
      <right/>
      <top/>
      <bottom/>
      <diagonal/>
    </border>
    <border>
      <left/>
      <right style="thick">
        <color rgb="FF00B050"/>
      </right>
      <top/>
      <bottom/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/>
      <right/>
      <top/>
      <bottom style="thick">
        <color rgb="FF00B050"/>
      </bottom>
      <diagonal/>
    </border>
    <border>
      <left/>
      <right style="thick">
        <color rgb="FF00B050"/>
      </right>
      <top/>
      <bottom style="thick">
        <color rgb="FF00B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dashed">
        <color indexed="29"/>
      </left>
      <right style="dashed">
        <color indexed="29"/>
      </right>
      <top style="dashed">
        <color indexed="29"/>
      </top>
      <bottom style="dashed">
        <color indexed="29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  <diagonal/>
    </border>
    <border>
      <left style="double">
        <color indexed="41"/>
      </left>
      <right style="double">
        <color indexed="41"/>
      </right>
      <top style="double">
        <color indexed="41"/>
      </top>
      <bottom style="double">
        <color indexed="41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ck">
        <color indexed="10"/>
      </left>
      <right style="thick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theme="6" tint="-0.24994659260841701"/>
      </left>
      <right/>
      <top style="thick">
        <color theme="6" tint="-0.24994659260841701"/>
      </top>
      <bottom/>
      <diagonal/>
    </border>
    <border>
      <left/>
      <right/>
      <top style="thick">
        <color theme="6" tint="-0.24994659260841701"/>
      </top>
      <bottom/>
      <diagonal/>
    </border>
    <border>
      <left/>
      <right style="thick">
        <color theme="6" tint="-0.24994659260841701"/>
      </right>
      <top style="thick">
        <color theme="6" tint="-0.24994659260841701"/>
      </top>
      <bottom/>
      <diagonal/>
    </border>
    <border>
      <left style="thick">
        <color theme="6" tint="-0.24994659260841701"/>
      </left>
      <right/>
      <top/>
      <bottom/>
      <diagonal/>
    </border>
    <border>
      <left/>
      <right style="thick">
        <color theme="6" tint="-0.24994659260841701"/>
      </right>
      <top/>
      <bottom/>
      <diagonal/>
    </border>
    <border>
      <left style="thick">
        <color theme="6" tint="-0.24994659260841701"/>
      </left>
      <right/>
      <top/>
      <bottom style="thick">
        <color theme="6" tint="-0.24994659260841701"/>
      </bottom>
      <diagonal/>
    </border>
    <border>
      <left/>
      <right/>
      <top/>
      <bottom style="thick">
        <color theme="6" tint="-0.24994659260841701"/>
      </bottom>
      <diagonal/>
    </border>
    <border>
      <left/>
      <right style="thick">
        <color theme="6" tint="-0.24994659260841701"/>
      </right>
      <top/>
      <bottom style="thick">
        <color theme="6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ck">
        <color theme="6" tint="-0.24994659260841701"/>
      </left>
      <right/>
      <top style="thick">
        <color theme="6" tint="-0.24994659260841701"/>
      </top>
      <bottom style="thick">
        <color theme="6" tint="-0.24994659260841701"/>
      </bottom>
      <diagonal/>
    </border>
    <border>
      <left/>
      <right/>
      <top style="thick">
        <color theme="6" tint="-0.24994659260841701"/>
      </top>
      <bottom style="thick">
        <color theme="6" tint="-0.24994659260841701"/>
      </bottom>
      <diagonal/>
    </border>
    <border>
      <left/>
      <right style="thick">
        <color theme="6" tint="-0.24994659260841701"/>
      </right>
      <top style="thick">
        <color theme="6" tint="-0.24994659260841701"/>
      </top>
      <bottom style="thick">
        <color theme="6" tint="-0.24994659260841701"/>
      </bottom>
      <diagonal/>
    </border>
    <border>
      <left style="thick">
        <color theme="6" tint="-0.24994659260841701"/>
      </left>
      <right style="thick">
        <color theme="6" tint="-0.24994659260841701"/>
      </right>
      <top style="thick">
        <color theme="6" tint="-0.24994659260841701"/>
      </top>
      <bottom/>
      <diagonal/>
    </border>
    <border>
      <left style="thick">
        <color theme="6" tint="-0.24994659260841701"/>
      </left>
      <right style="thick">
        <color theme="6" tint="-0.24994659260841701"/>
      </right>
      <top/>
      <bottom/>
      <diagonal/>
    </border>
    <border>
      <left style="thick">
        <color theme="6" tint="-0.24994659260841701"/>
      </left>
      <right style="thick">
        <color theme="6" tint="-0.24994659260841701"/>
      </right>
      <top/>
      <bottom style="thick">
        <color theme="6" tint="-0.24994659260841701"/>
      </bottom>
      <diagonal/>
    </border>
    <border>
      <left style="thick">
        <color rgb="FF00B050"/>
      </left>
      <right style="thick">
        <color theme="6" tint="-0.2499465926084170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rgb="FF00B050"/>
      </left>
      <right/>
      <top style="thick">
        <color rgb="FF00B050"/>
      </top>
      <bottom style="thick">
        <color rgb="FF00B050"/>
      </bottom>
      <diagonal/>
    </border>
    <border>
      <left/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 style="thick">
        <color rgb="FFFFC000"/>
      </left>
      <right style="thick">
        <color rgb="FFFFC000"/>
      </right>
      <top/>
      <bottom style="thick">
        <color rgb="FFFFC000"/>
      </bottom>
      <diagonal/>
    </border>
    <border>
      <left style="thick">
        <color rgb="FF00B050"/>
      </left>
      <right style="thin">
        <color indexed="64"/>
      </right>
      <top/>
      <bottom/>
      <diagonal/>
    </border>
    <border>
      <left style="thick">
        <color rgb="FF00B050"/>
      </left>
      <right style="thin">
        <color indexed="64"/>
      </right>
      <top style="thin">
        <color indexed="64"/>
      </top>
      <bottom/>
      <diagonal/>
    </border>
    <border>
      <left style="thick">
        <color rgb="FF00B050"/>
      </left>
      <right style="thin">
        <color indexed="64"/>
      </right>
      <top/>
      <bottom style="thin">
        <color indexed="64"/>
      </bottom>
      <diagonal/>
    </border>
  </borders>
  <cellStyleXfs count="2006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Font="0" applyBorder="0" applyAlignment="0" applyProtection="0"/>
    <xf numFmtId="0" fontId="15" fillId="7" borderId="0" applyNumberFormat="0" applyFont="0" applyBorder="0" applyAlignment="0" applyProtection="0"/>
    <xf numFmtId="0" fontId="15" fillId="8" borderId="0" applyNumberFormat="0" applyFont="0" applyBorder="0" applyAlignment="0" applyProtection="0"/>
    <xf numFmtId="0" fontId="15" fillId="9" borderId="0" applyNumberFormat="0" applyFont="0" applyBorder="0" applyAlignment="0" applyProtection="0"/>
    <xf numFmtId="0" fontId="7" fillId="10" borderId="0" applyNumberFormat="0" applyFont="0" applyBorder="0" applyAlignment="0" applyProtection="0"/>
    <xf numFmtId="0" fontId="7" fillId="10" borderId="0" applyNumberFormat="0" applyFont="0" applyBorder="0" applyAlignment="0" applyProtection="0"/>
    <xf numFmtId="0" fontId="7" fillId="0" borderId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7" fillId="6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7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7" fillId="14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6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6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0" borderId="0" applyNumberFormat="0" applyBorder="0" applyAlignment="0" applyProtection="0"/>
    <xf numFmtId="49" fontId="15" fillId="0" borderId="16" applyNumberFormat="0" applyFont="0" applyFill="0" applyBorder="0" applyProtection="0">
      <alignment horizontal="left" vertical="center" indent="2"/>
    </xf>
    <xf numFmtId="49" fontId="15" fillId="0" borderId="16" applyNumberFormat="0" applyFont="0" applyFill="0" applyBorder="0" applyProtection="0">
      <alignment horizontal="left" vertical="center" indent="2"/>
    </xf>
    <xf numFmtId="0" fontId="7" fillId="0" borderId="0" applyNumberFormat="0" applyFont="0" applyFill="0" applyBorder="0" applyProtection="0">
      <alignment horizontal="left" vertical="center" indent="2"/>
    </xf>
    <xf numFmtId="0" fontId="7" fillId="0" borderId="0" applyNumberFormat="0" applyFont="0" applyFill="0" applyBorder="0" applyProtection="0">
      <alignment horizontal="left" vertical="center" indent="2"/>
    </xf>
    <xf numFmtId="49" fontId="15" fillId="0" borderId="16" applyNumberFormat="0" applyFont="0" applyFill="0" applyBorder="0" applyProtection="0">
      <alignment horizontal="left" vertical="center" indent="2"/>
    </xf>
    <xf numFmtId="49" fontId="15" fillId="0" borderId="16" applyNumberFormat="0" applyFont="0" applyFill="0" applyBorder="0" applyProtection="0">
      <alignment horizontal="left" vertical="center" indent="2"/>
    </xf>
    <xf numFmtId="49" fontId="15" fillId="0" borderId="16" applyNumberFormat="0" applyFont="0" applyFill="0" applyBorder="0" applyProtection="0">
      <alignment horizontal="left" vertical="center" indent="2"/>
    </xf>
    <xf numFmtId="49" fontId="15" fillId="0" borderId="16" applyNumberFormat="0" applyFont="0" applyFill="0" applyBorder="0" applyProtection="0">
      <alignment horizontal="left" vertical="center" indent="2"/>
    </xf>
    <xf numFmtId="49" fontId="15" fillId="0" borderId="16" applyNumberFormat="0" applyFont="0" applyFill="0" applyBorder="0" applyProtection="0">
      <alignment horizontal="left" vertical="center" indent="2"/>
    </xf>
    <xf numFmtId="49" fontId="15" fillId="0" borderId="16" applyNumberFormat="0" applyFont="0" applyFill="0" applyBorder="0" applyProtection="0">
      <alignment horizontal="left" vertical="center" indent="2"/>
    </xf>
    <xf numFmtId="49" fontId="15" fillId="0" borderId="16" applyNumberFormat="0" applyFont="0" applyFill="0" applyBorder="0" applyProtection="0">
      <alignment horizontal="left" vertical="center" indent="2"/>
    </xf>
    <xf numFmtId="49" fontId="15" fillId="0" borderId="16" applyNumberFormat="0" applyFont="0" applyFill="0" applyBorder="0" applyProtection="0">
      <alignment horizontal="left" vertical="center" indent="2"/>
    </xf>
    <xf numFmtId="49" fontId="15" fillId="0" borderId="16" applyNumberFormat="0" applyFont="0" applyFill="0" applyBorder="0" applyProtection="0">
      <alignment horizontal="left" vertical="center" indent="2"/>
    </xf>
    <xf numFmtId="49" fontId="15" fillId="0" borderId="16" applyNumberFormat="0" applyFont="0" applyFill="0" applyBorder="0" applyProtection="0">
      <alignment horizontal="left" vertical="center" indent="2"/>
    </xf>
    <xf numFmtId="49" fontId="15" fillId="0" borderId="16" applyNumberFormat="0" applyFont="0" applyFill="0" applyBorder="0" applyProtection="0">
      <alignment horizontal="left" vertical="center" indent="2"/>
    </xf>
    <xf numFmtId="49" fontId="15" fillId="0" borderId="16" applyNumberFormat="0" applyFont="0" applyFill="0" applyBorder="0" applyProtection="0">
      <alignment horizontal="left" vertical="center" indent="2"/>
    </xf>
    <xf numFmtId="49" fontId="15" fillId="0" borderId="16" applyNumberFormat="0" applyFont="0" applyFill="0" applyBorder="0" applyProtection="0">
      <alignment horizontal="left" vertical="center" indent="2"/>
    </xf>
    <xf numFmtId="49" fontId="15" fillId="0" borderId="16" applyNumberFormat="0" applyFont="0" applyFill="0" applyBorder="0" applyProtection="0">
      <alignment horizontal="left" vertical="center" indent="2"/>
    </xf>
    <xf numFmtId="49" fontId="15" fillId="0" borderId="16" applyNumberFormat="0" applyFont="0" applyFill="0" applyBorder="0" applyProtection="0">
      <alignment horizontal="left" vertical="center" indent="2"/>
    </xf>
    <xf numFmtId="49" fontId="15" fillId="0" borderId="16" applyNumberFormat="0" applyFont="0" applyFill="0" applyBorder="0" applyProtection="0">
      <alignment horizontal="left" vertical="center" indent="2"/>
    </xf>
    <xf numFmtId="49" fontId="15" fillId="0" borderId="16" applyNumberFormat="0" applyFont="0" applyFill="0" applyBorder="0" applyProtection="0">
      <alignment horizontal="left" vertical="center" indent="2"/>
    </xf>
    <xf numFmtId="49" fontId="15" fillId="0" borderId="16" applyNumberFormat="0" applyFont="0" applyFill="0" applyBorder="0" applyProtection="0">
      <alignment horizontal="left" vertical="center" indent="2"/>
    </xf>
    <xf numFmtId="49" fontId="15" fillId="0" borderId="16" applyNumberFormat="0" applyFont="0" applyFill="0" applyBorder="0" applyProtection="0">
      <alignment horizontal="left" vertical="center" indent="2"/>
    </xf>
    <xf numFmtId="49" fontId="15" fillId="0" borderId="16" applyNumberFormat="0" applyFont="0" applyFill="0" applyBorder="0" applyProtection="0">
      <alignment horizontal="left" vertical="center" indent="2"/>
    </xf>
    <xf numFmtId="49" fontId="15" fillId="0" borderId="16" applyNumberFormat="0" applyFont="0" applyFill="0" applyBorder="0" applyProtection="0">
      <alignment horizontal="left" vertical="center" indent="2"/>
    </xf>
    <xf numFmtId="49" fontId="15" fillId="0" borderId="16" applyNumberFormat="0" applyFont="0" applyFill="0" applyBorder="0" applyProtection="0">
      <alignment horizontal="left" vertical="center" indent="2"/>
    </xf>
    <xf numFmtId="49" fontId="15" fillId="0" borderId="16" applyNumberFormat="0" applyFont="0" applyFill="0" applyBorder="0" applyProtection="0">
      <alignment horizontal="left" vertical="center" indent="2"/>
    </xf>
    <xf numFmtId="49" fontId="15" fillId="0" borderId="16" applyNumberFormat="0" applyFont="0" applyFill="0" applyBorder="0" applyProtection="0">
      <alignment horizontal="left" vertical="center" indent="2"/>
    </xf>
    <xf numFmtId="49" fontId="15" fillId="0" borderId="16" applyNumberFormat="0" applyFont="0" applyFill="0" applyBorder="0" applyProtection="0">
      <alignment horizontal="left" vertical="center" indent="2"/>
    </xf>
    <xf numFmtId="49" fontId="15" fillId="0" borderId="16" applyNumberFormat="0" applyFont="0" applyFill="0" applyBorder="0" applyProtection="0">
      <alignment horizontal="left" vertical="center" indent="2"/>
    </xf>
    <xf numFmtId="49" fontId="15" fillId="0" borderId="16" applyNumberFormat="0" applyFont="0" applyFill="0" applyBorder="0" applyProtection="0">
      <alignment horizontal="left" vertical="center" indent="2"/>
    </xf>
    <xf numFmtId="49" fontId="15" fillId="0" borderId="16" applyNumberFormat="0" applyFont="0" applyFill="0" applyBorder="0" applyProtection="0">
      <alignment horizontal="left" vertical="center" indent="2"/>
    </xf>
    <xf numFmtId="49" fontId="15" fillId="0" borderId="16" applyNumberFormat="0" applyFont="0" applyFill="0" applyBorder="0" applyProtection="0">
      <alignment horizontal="left" vertical="center" indent="2"/>
    </xf>
    <xf numFmtId="49" fontId="15" fillId="0" borderId="16" applyNumberFormat="0" applyFont="0" applyFill="0" applyBorder="0" applyProtection="0">
      <alignment horizontal="left" vertical="center" indent="2"/>
    </xf>
    <xf numFmtId="49" fontId="15" fillId="0" borderId="16" applyNumberFormat="0" applyFont="0" applyFill="0" applyBorder="0" applyProtection="0">
      <alignment horizontal="left" vertical="center" indent="2"/>
    </xf>
    <xf numFmtId="49" fontId="15" fillId="0" borderId="16" applyNumberFormat="0" applyFont="0" applyFill="0" applyBorder="0" applyProtection="0">
      <alignment horizontal="left" vertical="center" indent="2"/>
    </xf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7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7" fillId="18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49" fontId="15" fillId="0" borderId="17" applyNumberFormat="0" applyFont="0" applyFill="0" applyBorder="0" applyProtection="0">
      <alignment horizontal="left" vertical="center" indent="5"/>
    </xf>
    <xf numFmtId="49" fontId="15" fillId="0" borderId="17" applyNumberFormat="0" applyFont="0" applyFill="0" applyBorder="0" applyProtection="0">
      <alignment horizontal="left" vertical="center" indent="5"/>
    </xf>
    <xf numFmtId="0" fontId="7" fillId="0" borderId="0" applyNumberFormat="0" applyFont="0" applyFill="0" applyBorder="0" applyProtection="0">
      <alignment horizontal="left" vertical="center" indent="5"/>
    </xf>
    <xf numFmtId="0" fontId="7" fillId="0" borderId="0" applyNumberFormat="0" applyFont="0" applyFill="0" applyBorder="0" applyProtection="0">
      <alignment horizontal="left" vertical="center" indent="5"/>
    </xf>
    <xf numFmtId="49" fontId="15" fillId="0" borderId="17" applyNumberFormat="0" applyFont="0" applyFill="0" applyBorder="0" applyProtection="0">
      <alignment horizontal="left" vertical="center" indent="5"/>
    </xf>
    <xf numFmtId="49" fontId="15" fillId="0" borderId="17" applyNumberFormat="0" applyFont="0" applyFill="0" applyBorder="0" applyProtection="0">
      <alignment horizontal="left" vertical="center" indent="5"/>
    </xf>
    <xf numFmtId="49" fontId="15" fillId="0" borderId="17" applyNumberFormat="0" applyFont="0" applyFill="0" applyBorder="0" applyProtection="0">
      <alignment horizontal="left" vertical="center" indent="5"/>
    </xf>
    <xf numFmtId="49" fontId="15" fillId="0" borderId="17" applyNumberFormat="0" applyFont="0" applyFill="0" applyBorder="0" applyProtection="0">
      <alignment horizontal="left" vertical="center" indent="5"/>
    </xf>
    <xf numFmtId="49" fontId="15" fillId="0" borderId="17" applyNumberFormat="0" applyFont="0" applyFill="0" applyBorder="0" applyProtection="0">
      <alignment horizontal="left" vertical="center" indent="5"/>
    </xf>
    <xf numFmtId="49" fontId="15" fillId="0" borderId="17" applyNumberFormat="0" applyFont="0" applyFill="0" applyBorder="0" applyProtection="0">
      <alignment horizontal="left" vertical="center" indent="5"/>
    </xf>
    <xf numFmtId="49" fontId="15" fillId="0" borderId="17" applyNumberFormat="0" applyFont="0" applyFill="0" applyBorder="0" applyProtection="0">
      <alignment horizontal="left" vertical="center" indent="5"/>
    </xf>
    <xf numFmtId="49" fontId="15" fillId="0" borderId="17" applyNumberFormat="0" applyFont="0" applyFill="0" applyBorder="0" applyProtection="0">
      <alignment horizontal="left" vertical="center" indent="5"/>
    </xf>
    <xf numFmtId="49" fontId="15" fillId="0" borderId="17" applyNumberFormat="0" applyFont="0" applyFill="0" applyBorder="0" applyProtection="0">
      <alignment horizontal="left" vertical="center" indent="5"/>
    </xf>
    <xf numFmtId="49" fontId="15" fillId="0" borderId="17" applyNumberFormat="0" applyFont="0" applyFill="0" applyBorder="0" applyProtection="0">
      <alignment horizontal="left" vertical="center" indent="5"/>
    </xf>
    <xf numFmtId="49" fontId="15" fillId="0" borderId="17" applyNumberFormat="0" applyFont="0" applyFill="0" applyBorder="0" applyProtection="0">
      <alignment horizontal="left" vertical="center" indent="5"/>
    </xf>
    <xf numFmtId="49" fontId="15" fillId="0" borderId="17" applyNumberFormat="0" applyFont="0" applyFill="0" applyBorder="0" applyProtection="0">
      <alignment horizontal="left" vertical="center" indent="5"/>
    </xf>
    <xf numFmtId="49" fontId="15" fillId="0" borderId="17" applyNumberFormat="0" applyFont="0" applyFill="0" applyBorder="0" applyProtection="0">
      <alignment horizontal="left" vertical="center" indent="5"/>
    </xf>
    <xf numFmtId="49" fontId="15" fillId="0" borderId="17" applyNumberFormat="0" applyFont="0" applyFill="0" applyBorder="0" applyProtection="0">
      <alignment horizontal="left" vertical="center" indent="5"/>
    </xf>
    <xf numFmtId="49" fontId="15" fillId="0" borderId="17" applyNumberFormat="0" applyFont="0" applyFill="0" applyBorder="0" applyProtection="0">
      <alignment horizontal="left" vertical="center" indent="5"/>
    </xf>
    <xf numFmtId="49" fontId="15" fillId="0" borderId="17" applyNumberFormat="0" applyFont="0" applyFill="0" applyBorder="0" applyProtection="0">
      <alignment horizontal="left" vertical="center" indent="5"/>
    </xf>
    <xf numFmtId="49" fontId="15" fillId="0" borderId="17" applyNumberFormat="0" applyFont="0" applyFill="0" applyBorder="0" applyProtection="0">
      <alignment horizontal="left" vertical="center" indent="5"/>
    </xf>
    <xf numFmtId="49" fontId="15" fillId="0" borderId="17" applyNumberFormat="0" applyFont="0" applyFill="0" applyBorder="0" applyProtection="0">
      <alignment horizontal="left" vertical="center" indent="5"/>
    </xf>
    <xf numFmtId="49" fontId="15" fillId="0" borderId="17" applyNumberFormat="0" applyFont="0" applyFill="0" applyBorder="0" applyProtection="0">
      <alignment horizontal="left" vertical="center" indent="5"/>
    </xf>
    <xf numFmtId="49" fontId="15" fillId="0" borderId="17" applyNumberFormat="0" applyFont="0" applyFill="0" applyBorder="0" applyProtection="0">
      <alignment horizontal="left" vertical="center" indent="5"/>
    </xf>
    <xf numFmtId="49" fontId="15" fillId="0" borderId="17" applyNumberFormat="0" applyFont="0" applyFill="0" applyBorder="0" applyProtection="0">
      <alignment horizontal="left" vertical="center" indent="5"/>
    </xf>
    <xf numFmtId="49" fontId="15" fillId="0" borderId="17" applyNumberFormat="0" applyFont="0" applyFill="0" applyBorder="0" applyProtection="0">
      <alignment horizontal="left" vertical="center" indent="5"/>
    </xf>
    <xf numFmtId="49" fontId="15" fillId="0" borderId="17" applyNumberFormat="0" applyFont="0" applyFill="0" applyBorder="0" applyProtection="0">
      <alignment horizontal="left" vertical="center" indent="5"/>
    </xf>
    <xf numFmtId="49" fontId="15" fillId="0" borderId="17" applyNumberFormat="0" applyFont="0" applyFill="0" applyBorder="0" applyProtection="0">
      <alignment horizontal="left" vertical="center" indent="5"/>
    </xf>
    <xf numFmtId="49" fontId="15" fillId="0" borderId="17" applyNumberFormat="0" applyFont="0" applyFill="0" applyBorder="0" applyProtection="0">
      <alignment horizontal="left" vertical="center" indent="5"/>
    </xf>
    <xf numFmtId="49" fontId="15" fillId="0" borderId="17" applyNumberFormat="0" applyFont="0" applyFill="0" applyBorder="0" applyProtection="0">
      <alignment horizontal="left" vertical="center" indent="5"/>
    </xf>
    <xf numFmtId="49" fontId="15" fillId="0" borderId="17" applyNumberFormat="0" applyFont="0" applyFill="0" applyBorder="0" applyProtection="0">
      <alignment horizontal="left" vertical="center" indent="5"/>
    </xf>
    <xf numFmtId="49" fontId="15" fillId="0" borderId="17" applyNumberFormat="0" applyFont="0" applyFill="0" applyBorder="0" applyProtection="0">
      <alignment horizontal="left" vertical="center" indent="5"/>
    </xf>
    <xf numFmtId="49" fontId="15" fillId="0" borderId="17" applyNumberFormat="0" applyFont="0" applyFill="0" applyBorder="0" applyProtection="0">
      <alignment horizontal="left" vertical="center" indent="5"/>
    </xf>
    <xf numFmtId="49" fontId="15" fillId="0" borderId="17" applyNumberFormat="0" applyFont="0" applyFill="0" applyBorder="0" applyProtection="0">
      <alignment horizontal="left" vertical="center" indent="5"/>
    </xf>
    <xf numFmtId="49" fontId="15" fillId="0" borderId="17" applyNumberFormat="0" applyFont="0" applyFill="0" applyBorder="0" applyProtection="0">
      <alignment horizontal="left" vertical="center" indent="5"/>
    </xf>
    <xf numFmtId="49" fontId="15" fillId="0" borderId="17" applyNumberFormat="0" applyFont="0" applyFill="0" applyBorder="0" applyProtection="0">
      <alignment horizontal="left" vertical="center" indent="5"/>
    </xf>
    <xf numFmtId="49" fontId="15" fillId="0" borderId="17" applyNumberFormat="0" applyFont="0" applyFill="0" applyBorder="0" applyProtection="0">
      <alignment horizontal="left" vertical="center" indent="5"/>
    </xf>
    <xf numFmtId="49" fontId="15" fillId="0" borderId="17" applyNumberFormat="0" applyFont="0" applyFill="0" applyBorder="0" applyProtection="0">
      <alignment horizontal="left" vertical="center" indent="5"/>
    </xf>
    <xf numFmtId="49" fontId="15" fillId="0" borderId="17" applyNumberFormat="0" applyFont="0" applyFill="0" applyBorder="0" applyProtection="0">
      <alignment horizontal="left" vertical="center" indent="5"/>
    </xf>
    <xf numFmtId="0" fontId="7" fillId="0" borderId="0" applyNumberFormat="0" applyFont="0" applyFill="0" applyBorder="0" applyProtection="0">
      <alignment horizontal="left" vertical="center"/>
    </xf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9" fillId="2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9" fillId="1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9" fillId="7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9" fillId="23" borderId="0" applyNumberFormat="0" applyBorder="0" applyAlignment="0" applyProtection="0"/>
    <xf numFmtId="0" fontId="18" fillId="14" borderId="0" applyNumberFormat="0" applyBorder="0" applyAlignment="0" applyProtection="0"/>
    <xf numFmtId="0" fontId="18" fillId="24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8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8" fillId="20" borderId="0" applyNumberFormat="0" applyBorder="0" applyAlignment="0" applyProtection="0"/>
    <xf numFmtId="0" fontId="18" fillId="16" borderId="0" applyNumberFormat="0" applyBorder="0" applyAlignment="0" applyProtection="0"/>
    <xf numFmtId="0" fontId="18" fillId="7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0" borderId="0" applyNumberFormat="0" applyBorder="0" applyAlignment="0" applyProtection="0"/>
    <xf numFmtId="0" fontId="18" fillId="16" borderId="0" applyNumberFormat="0" applyBorder="0" applyAlignment="0" applyProtection="0"/>
    <xf numFmtId="0" fontId="18" fillId="7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8" fillId="8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8" fillId="24" borderId="0" applyNumberFormat="0" applyBorder="0" applyAlignment="0" applyProtection="0"/>
    <xf numFmtId="0" fontId="20" fillId="27" borderId="0" applyBorder="0" applyAlignment="0"/>
    <xf numFmtId="4" fontId="20" fillId="27" borderId="0" applyBorder="0" applyAlignment="0"/>
    <xf numFmtId="4" fontId="20" fillId="27" borderId="0" applyBorder="0" applyAlignment="0"/>
    <xf numFmtId="0" fontId="15" fillId="27" borderId="0" applyBorder="0">
      <alignment horizontal="right" vertical="center"/>
    </xf>
    <xf numFmtId="4" fontId="15" fillId="27" borderId="0" applyBorder="0">
      <alignment horizontal="right" vertical="center"/>
    </xf>
    <xf numFmtId="0" fontId="15" fillId="27" borderId="16">
      <alignment horizontal="right" vertical="center"/>
    </xf>
    <xf numFmtId="0" fontId="15" fillId="28" borderId="0" applyBorder="0">
      <alignment horizontal="right" vertical="center"/>
    </xf>
    <xf numFmtId="4" fontId="15" fillId="28" borderId="0" applyBorder="0">
      <alignment horizontal="right" vertical="center"/>
    </xf>
    <xf numFmtId="0" fontId="15" fillId="28" borderId="0" applyBorder="0">
      <alignment horizontal="right" vertical="center"/>
    </xf>
    <xf numFmtId="0" fontId="15" fillId="28" borderId="0" applyBorder="0">
      <alignment horizontal="right" vertical="center"/>
    </xf>
    <xf numFmtId="0" fontId="15" fillId="28" borderId="0" applyBorder="0">
      <alignment horizontal="right" vertical="center"/>
    </xf>
    <xf numFmtId="4" fontId="15" fillId="28" borderId="0" applyBorder="0">
      <alignment horizontal="right" vertical="center"/>
    </xf>
    <xf numFmtId="0" fontId="15" fillId="28" borderId="0" applyBorder="0">
      <alignment horizontal="right" vertical="center"/>
    </xf>
    <xf numFmtId="0" fontId="15" fillId="28" borderId="0" applyBorder="0">
      <alignment horizontal="right" vertical="center"/>
    </xf>
    <xf numFmtId="0" fontId="15" fillId="28" borderId="18">
      <alignment horizontal="right" vertical="center"/>
    </xf>
    <xf numFmtId="0" fontId="21" fillId="28" borderId="16">
      <alignment horizontal="right" vertical="center"/>
    </xf>
    <xf numFmtId="4" fontId="21" fillId="28" borderId="16">
      <alignment horizontal="right" vertical="center"/>
    </xf>
    <xf numFmtId="4" fontId="21" fillId="28" borderId="16">
      <alignment horizontal="right" vertical="center"/>
    </xf>
    <xf numFmtId="4" fontId="21" fillId="28" borderId="16">
      <alignment horizontal="right" vertical="center"/>
    </xf>
    <xf numFmtId="4" fontId="21" fillId="28" borderId="16">
      <alignment horizontal="right" vertical="center"/>
    </xf>
    <xf numFmtId="4" fontId="21" fillId="28" borderId="16">
      <alignment horizontal="right" vertical="center"/>
    </xf>
    <xf numFmtId="4" fontId="21" fillId="28" borderId="16">
      <alignment horizontal="right" vertical="center"/>
    </xf>
    <xf numFmtId="4" fontId="21" fillId="28" borderId="16">
      <alignment horizontal="right" vertical="center"/>
    </xf>
    <xf numFmtId="4" fontId="21" fillId="28" borderId="16">
      <alignment horizontal="right" vertical="center"/>
    </xf>
    <xf numFmtId="4" fontId="21" fillId="28" borderId="16">
      <alignment horizontal="right" vertical="center"/>
    </xf>
    <xf numFmtId="4" fontId="21" fillId="28" borderId="16">
      <alignment horizontal="right" vertical="center"/>
    </xf>
    <xf numFmtId="4" fontId="21" fillId="28" borderId="16">
      <alignment horizontal="right" vertical="center"/>
    </xf>
    <xf numFmtId="4" fontId="21" fillId="28" borderId="16">
      <alignment horizontal="right" vertical="center"/>
    </xf>
    <xf numFmtId="4" fontId="21" fillId="28" borderId="16">
      <alignment horizontal="right" vertical="center"/>
    </xf>
    <xf numFmtId="4" fontId="21" fillId="28" borderId="16">
      <alignment horizontal="right" vertical="center"/>
    </xf>
    <xf numFmtId="4" fontId="21" fillId="28" borderId="16">
      <alignment horizontal="right" vertical="center"/>
    </xf>
    <xf numFmtId="4" fontId="21" fillId="28" borderId="16">
      <alignment horizontal="right" vertical="center"/>
    </xf>
    <xf numFmtId="4" fontId="21" fillId="28" borderId="16">
      <alignment horizontal="right" vertical="center"/>
    </xf>
    <xf numFmtId="4" fontId="21" fillId="28" borderId="16">
      <alignment horizontal="right" vertical="center"/>
    </xf>
    <xf numFmtId="4" fontId="21" fillId="28" borderId="16">
      <alignment horizontal="right" vertical="center"/>
    </xf>
    <xf numFmtId="4" fontId="21" fillId="28" borderId="16">
      <alignment horizontal="right" vertical="center"/>
    </xf>
    <xf numFmtId="4" fontId="21" fillId="28" borderId="16">
      <alignment horizontal="right" vertical="center"/>
    </xf>
    <xf numFmtId="4" fontId="21" fillId="28" borderId="16">
      <alignment horizontal="right" vertical="center"/>
    </xf>
    <xf numFmtId="4" fontId="21" fillId="28" borderId="16">
      <alignment horizontal="right" vertical="center"/>
    </xf>
    <xf numFmtId="4" fontId="21" fillId="28" borderId="16">
      <alignment horizontal="right" vertical="center"/>
    </xf>
    <xf numFmtId="4" fontId="21" fillId="28" borderId="16">
      <alignment horizontal="right" vertical="center"/>
    </xf>
    <xf numFmtId="4" fontId="21" fillId="28" borderId="16">
      <alignment horizontal="right" vertical="center"/>
    </xf>
    <xf numFmtId="4" fontId="21" fillId="28" borderId="16">
      <alignment horizontal="right" vertical="center"/>
    </xf>
    <xf numFmtId="4" fontId="21" fillId="28" borderId="16">
      <alignment horizontal="right" vertical="center"/>
    </xf>
    <xf numFmtId="0" fontId="21" fillId="28" borderId="16">
      <alignment horizontal="right" vertical="center"/>
    </xf>
    <xf numFmtId="0" fontId="21" fillId="28" borderId="16">
      <alignment horizontal="right" vertical="center"/>
    </xf>
    <xf numFmtId="0" fontId="21" fillId="28" borderId="16">
      <alignment horizontal="right" vertical="center"/>
    </xf>
    <xf numFmtId="0" fontId="21" fillId="28" borderId="16">
      <alignment horizontal="right" vertical="center"/>
    </xf>
    <xf numFmtId="0" fontId="21" fillId="28" borderId="16">
      <alignment horizontal="right" vertical="center"/>
    </xf>
    <xf numFmtId="0" fontId="21" fillId="28" borderId="16">
      <alignment horizontal="right" vertical="center"/>
    </xf>
    <xf numFmtId="0" fontId="21" fillId="28" borderId="16">
      <alignment horizontal="right" vertical="center"/>
    </xf>
    <xf numFmtId="0" fontId="21" fillId="28" borderId="16">
      <alignment horizontal="right" vertical="center"/>
    </xf>
    <xf numFmtId="0" fontId="21" fillId="28" borderId="16">
      <alignment horizontal="right" vertical="center"/>
    </xf>
    <xf numFmtId="0" fontId="21" fillId="28" borderId="16">
      <alignment horizontal="right" vertical="center"/>
    </xf>
    <xf numFmtId="0" fontId="21" fillId="28" borderId="16">
      <alignment horizontal="right" vertical="center"/>
    </xf>
    <xf numFmtId="0" fontId="21" fillId="28" borderId="16">
      <alignment horizontal="right" vertical="center"/>
    </xf>
    <xf numFmtId="0" fontId="21" fillId="28" borderId="16">
      <alignment horizontal="right" vertical="center"/>
    </xf>
    <xf numFmtId="0" fontId="21" fillId="28" borderId="16">
      <alignment horizontal="right" vertical="center"/>
    </xf>
    <xf numFmtId="0" fontId="21" fillId="28" borderId="16">
      <alignment horizontal="right" vertical="center"/>
    </xf>
    <xf numFmtId="0" fontId="21" fillId="28" borderId="16">
      <alignment horizontal="right" vertical="center"/>
    </xf>
    <xf numFmtId="0" fontId="21" fillId="28" borderId="16">
      <alignment horizontal="right" vertical="center"/>
    </xf>
    <xf numFmtId="0" fontId="21" fillId="28" borderId="16">
      <alignment horizontal="right" vertical="center"/>
    </xf>
    <xf numFmtId="0" fontId="21" fillId="28" borderId="16">
      <alignment horizontal="right" vertical="center"/>
    </xf>
    <xf numFmtId="0" fontId="21" fillId="28" borderId="16">
      <alignment horizontal="right" vertical="center"/>
    </xf>
    <xf numFmtId="0" fontId="21" fillId="28" borderId="16">
      <alignment horizontal="right" vertical="center"/>
    </xf>
    <xf numFmtId="0" fontId="21" fillId="28" borderId="16">
      <alignment horizontal="right" vertical="center"/>
    </xf>
    <xf numFmtId="0" fontId="21" fillId="28" borderId="16">
      <alignment horizontal="right" vertical="center"/>
    </xf>
    <xf numFmtId="0" fontId="21" fillId="28" borderId="16">
      <alignment horizontal="right" vertical="center"/>
    </xf>
    <xf numFmtId="0" fontId="21" fillId="28" borderId="16">
      <alignment horizontal="right" vertical="center"/>
    </xf>
    <xf numFmtId="0" fontId="21" fillId="28" borderId="16">
      <alignment horizontal="right" vertical="center"/>
    </xf>
    <xf numFmtId="0" fontId="21" fillId="28" borderId="16">
      <alignment horizontal="right" vertical="center"/>
    </xf>
    <xf numFmtId="0" fontId="21" fillId="28" borderId="19">
      <alignment horizontal="right" vertical="center"/>
    </xf>
    <xf numFmtId="0" fontId="22" fillId="28" borderId="16">
      <alignment horizontal="right" vertical="center"/>
    </xf>
    <xf numFmtId="4" fontId="22" fillId="28" borderId="16">
      <alignment horizontal="right" vertical="center"/>
    </xf>
    <xf numFmtId="4" fontId="22" fillId="28" borderId="16">
      <alignment horizontal="right" vertical="center"/>
    </xf>
    <xf numFmtId="4" fontId="22" fillId="28" borderId="16">
      <alignment horizontal="right" vertical="center"/>
    </xf>
    <xf numFmtId="4" fontId="22" fillId="28" borderId="16">
      <alignment horizontal="right" vertical="center"/>
    </xf>
    <xf numFmtId="4" fontId="22" fillId="28" borderId="16">
      <alignment horizontal="right" vertical="center"/>
    </xf>
    <xf numFmtId="4" fontId="22" fillId="28" borderId="16">
      <alignment horizontal="right" vertical="center"/>
    </xf>
    <xf numFmtId="4" fontId="22" fillId="28" borderId="16">
      <alignment horizontal="right" vertical="center"/>
    </xf>
    <xf numFmtId="4" fontId="22" fillId="28" borderId="16">
      <alignment horizontal="right" vertical="center"/>
    </xf>
    <xf numFmtId="4" fontId="22" fillId="28" borderId="16">
      <alignment horizontal="right" vertical="center"/>
    </xf>
    <xf numFmtId="4" fontId="22" fillId="28" borderId="16">
      <alignment horizontal="right" vertical="center"/>
    </xf>
    <xf numFmtId="4" fontId="22" fillId="28" borderId="16">
      <alignment horizontal="right" vertical="center"/>
    </xf>
    <xf numFmtId="4" fontId="22" fillId="28" borderId="16">
      <alignment horizontal="right" vertical="center"/>
    </xf>
    <xf numFmtId="4" fontId="22" fillId="28" borderId="16">
      <alignment horizontal="right" vertical="center"/>
    </xf>
    <xf numFmtId="4" fontId="22" fillId="28" borderId="16">
      <alignment horizontal="right" vertical="center"/>
    </xf>
    <xf numFmtId="4" fontId="22" fillId="28" borderId="16">
      <alignment horizontal="right" vertical="center"/>
    </xf>
    <xf numFmtId="4" fontId="22" fillId="28" borderId="16">
      <alignment horizontal="right" vertical="center"/>
    </xf>
    <xf numFmtId="4" fontId="22" fillId="28" borderId="16">
      <alignment horizontal="right" vertical="center"/>
    </xf>
    <xf numFmtId="4" fontId="22" fillId="28" borderId="16">
      <alignment horizontal="right" vertical="center"/>
    </xf>
    <xf numFmtId="4" fontId="22" fillId="28" borderId="16">
      <alignment horizontal="right" vertical="center"/>
    </xf>
    <xf numFmtId="4" fontId="22" fillId="28" borderId="16">
      <alignment horizontal="right" vertical="center"/>
    </xf>
    <xf numFmtId="4" fontId="22" fillId="28" borderId="16">
      <alignment horizontal="right" vertical="center"/>
    </xf>
    <xf numFmtId="4" fontId="22" fillId="28" borderId="16">
      <alignment horizontal="right" vertical="center"/>
    </xf>
    <xf numFmtId="4" fontId="22" fillId="28" borderId="16">
      <alignment horizontal="right" vertical="center"/>
    </xf>
    <xf numFmtId="4" fontId="22" fillId="28" borderId="16">
      <alignment horizontal="right" vertical="center"/>
    </xf>
    <xf numFmtId="4" fontId="22" fillId="28" borderId="16">
      <alignment horizontal="right" vertical="center"/>
    </xf>
    <xf numFmtId="4" fontId="22" fillId="28" borderId="16">
      <alignment horizontal="right" vertical="center"/>
    </xf>
    <xf numFmtId="4" fontId="22" fillId="28" borderId="16">
      <alignment horizontal="right" vertical="center"/>
    </xf>
    <xf numFmtId="4" fontId="22" fillId="28" borderId="16">
      <alignment horizontal="right" vertical="center"/>
    </xf>
    <xf numFmtId="0" fontId="22" fillId="28" borderId="16">
      <alignment horizontal="right" vertical="center"/>
    </xf>
    <xf numFmtId="0" fontId="22" fillId="28" borderId="16">
      <alignment horizontal="right" vertical="center"/>
    </xf>
    <xf numFmtId="0" fontId="22" fillId="28" borderId="16">
      <alignment horizontal="right" vertical="center"/>
    </xf>
    <xf numFmtId="0" fontId="22" fillId="28" borderId="16">
      <alignment horizontal="right" vertical="center"/>
    </xf>
    <xf numFmtId="0" fontId="22" fillId="28" borderId="16">
      <alignment horizontal="right" vertical="center"/>
    </xf>
    <xf numFmtId="0" fontId="22" fillId="28" borderId="16">
      <alignment horizontal="right" vertical="center"/>
    </xf>
    <xf numFmtId="0" fontId="22" fillId="28" borderId="16">
      <alignment horizontal="right" vertical="center"/>
    </xf>
    <xf numFmtId="0" fontId="22" fillId="28" borderId="16">
      <alignment horizontal="right" vertical="center"/>
    </xf>
    <xf numFmtId="0" fontId="22" fillId="28" borderId="16">
      <alignment horizontal="right" vertical="center"/>
    </xf>
    <xf numFmtId="0" fontId="22" fillId="28" borderId="16">
      <alignment horizontal="right" vertical="center"/>
    </xf>
    <xf numFmtId="0" fontId="22" fillId="28" borderId="16">
      <alignment horizontal="right" vertical="center"/>
    </xf>
    <xf numFmtId="0" fontId="22" fillId="28" borderId="16">
      <alignment horizontal="right" vertical="center"/>
    </xf>
    <xf numFmtId="0" fontId="22" fillId="28" borderId="16">
      <alignment horizontal="right" vertical="center"/>
    </xf>
    <xf numFmtId="0" fontId="22" fillId="28" borderId="16">
      <alignment horizontal="right" vertical="center"/>
    </xf>
    <xf numFmtId="0" fontId="22" fillId="28" borderId="16">
      <alignment horizontal="right" vertical="center"/>
    </xf>
    <xf numFmtId="0" fontId="22" fillId="28" borderId="16">
      <alignment horizontal="right" vertical="center"/>
    </xf>
    <xf numFmtId="0" fontId="22" fillId="28" borderId="16">
      <alignment horizontal="right" vertical="center"/>
    </xf>
    <xf numFmtId="0" fontId="22" fillId="28" borderId="16">
      <alignment horizontal="right" vertical="center"/>
    </xf>
    <xf numFmtId="0" fontId="22" fillId="28" borderId="16">
      <alignment horizontal="right" vertical="center"/>
    </xf>
    <xf numFmtId="0" fontId="22" fillId="28" borderId="16">
      <alignment horizontal="right" vertical="center"/>
    </xf>
    <xf numFmtId="0" fontId="22" fillId="28" borderId="16">
      <alignment horizontal="right" vertical="center"/>
    </xf>
    <xf numFmtId="0" fontId="22" fillId="28" borderId="16">
      <alignment horizontal="right" vertical="center"/>
    </xf>
    <xf numFmtId="0" fontId="22" fillId="28" borderId="16">
      <alignment horizontal="right" vertical="center"/>
    </xf>
    <xf numFmtId="0" fontId="22" fillId="28" borderId="16">
      <alignment horizontal="right" vertical="center"/>
    </xf>
    <xf numFmtId="0" fontId="22" fillId="28" borderId="16">
      <alignment horizontal="right" vertical="center"/>
    </xf>
    <xf numFmtId="0" fontId="22" fillId="28" borderId="16">
      <alignment horizontal="right" vertical="center"/>
    </xf>
    <xf numFmtId="0" fontId="22" fillId="28" borderId="16">
      <alignment horizontal="right" vertical="center"/>
    </xf>
    <xf numFmtId="0" fontId="21" fillId="29" borderId="16">
      <alignment horizontal="right" vertical="center"/>
    </xf>
    <xf numFmtId="4" fontId="21" fillId="29" borderId="16">
      <alignment horizontal="right" vertical="center"/>
    </xf>
    <xf numFmtId="4" fontId="21" fillId="29" borderId="16">
      <alignment horizontal="right" vertical="center"/>
    </xf>
    <xf numFmtId="4" fontId="21" fillId="29" borderId="16">
      <alignment horizontal="right" vertical="center"/>
    </xf>
    <xf numFmtId="4" fontId="21" fillId="29" borderId="16">
      <alignment horizontal="right" vertical="center"/>
    </xf>
    <xf numFmtId="4" fontId="21" fillId="29" borderId="16">
      <alignment horizontal="right" vertical="center"/>
    </xf>
    <xf numFmtId="4" fontId="21" fillId="29" borderId="16">
      <alignment horizontal="right" vertical="center"/>
    </xf>
    <xf numFmtId="4" fontId="21" fillId="29" borderId="16">
      <alignment horizontal="right" vertical="center"/>
    </xf>
    <xf numFmtId="4" fontId="21" fillId="29" borderId="16">
      <alignment horizontal="right" vertical="center"/>
    </xf>
    <xf numFmtId="4" fontId="21" fillId="29" borderId="16">
      <alignment horizontal="right" vertical="center"/>
    </xf>
    <xf numFmtId="4" fontId="21" fillId="29" borderId="16">
      <alignment horizontal="right" vertical="center"/>
    </xf>
    <xf numFmtId="4" fontId="21" fillId="29" borderId="16">
      <alignment horizontal="right" vertical="center"/>
    </xf>
    <xf numFmtId="4" fontId="21" fillId="29" borderId="16">
      <alignment horizontal="right" vertical="center"/>
    </xf>
    <xf numFmtId="4" fontId="21" fillId="29" borderId="16">
      <alignment horizontal="right" vertical="center"/>
    </xf>
    <xf numFmtId="4" fontId="21" fillId="29" borderId="16">
      <alignment horizontal="right" vertical="center"/>
    </xf>
    <xf numFmtId="4" fontId="21" fillId="29" borderId="16">
      <alignment horizontal="right" vertical="center"/>
    </xf>
    <xf numFmtId="4" fontId="21" fillId="29" borderId="16">
      <alignment horizontal="right" vertical="center"/>
    </xf>
    <xf numFmtId="4" fontId="21" fillId="29" borderId="16">
      <alignment horizontal="right" vertical="center"/>
    </xf>
    <xf numFmtId="4" fontId="21" fillId="29" borderId="16">
      <alignment horizontal="right" vertical="center"/>
    </xf>
    <xf numFmtId="4" fontId="21" fillId="29" borderId="16">
      <alignment horizontal="right" vertical="center"/>
    </xf>
    <xf numFmtId="4" fontId="21" fillId="29" borderId="16">
      <alignment horizontal="right" vertical="center"/>
    </xf>
    <xf numFmtId="4" fontId="21" fillId="29" borderId="16">
      <alignment horizontal="right" vertical="center"/>
    </xf>
    <xf numFmtId="4" fontId="21" fillId="29" borderId="16">
      <alignment horizontal="right" vertical="center"/>
    </xf>
    <xf numFmtId="4" fontId="21" fillId="29" borderId="16">
      <alignment horizontal="right" vertical="center"/>
    </xf>
    <xf numFmtId="4" fontId="21" fillId="29" borderId="16">
      <alignment horizontal="right" vertical="center"/>
    </xf>
    <xf numFmtId="4" fontId="21" fillId="29" borderId="16">
      <alignment horizontal="right" vertical="center"/>
    </xf>
    <xf numFmtId="4" fontId="21" fillId="29" borderId="16">
      <alignment horizontal="right" vertical="center"/>
    </xf>
    <xf numFmtId="4" fontId="21" fillId="29" borderId="16">
      <alignment horizontal="right" vertical="center"/>
    </xf>
    <xf numFmtId="4" fontId="21" fillId="29" borderId="16">
      <alignment horizontal="right" vertical="center"/>
    </xf>
    <xf numFmtId="0" fontId="21" fillId="29" borderId="16">
      <alignment horizontal="right" vertical="center"/>
    </xf>
    <xf numFmtId="0" fontId="21" fillId="29" borderId="16">
      <alignment horizontal="right" vertical="center"/>
    </xf>
    <xf numFmtId="0" fontId="21" fillId="29" borderId="16">
      <alignment horizontal="right" vertical="center"/>
    </xf>
    <xf numFmtId="0" fontId="21" fillId="29" borderId="16">
      <alignment horizontal="right" vertical="center"/>
    </xf>
    <xf numFmtId="0" fontId="21" fillId="29" borderId="16">
      <alignment horizontal="right" vertical="center"/>
    </xf>
    <xf numFmtId="0" fontId="21" fillId="29" borderId="16">
      <alignment horizontal="right" vertical="center"/>
    </xf>
    <xf numFmtId="0" fontId="21" fillId="29" borderId="16">
      <alignment horizontal="right" vertical="center"/>
    </xf>
    <xf numFmtId="0" fontId="21" fillId="29" borderId="16">
      <alignment horizontal="right" vertical="center"/>
    </xf>
    <xf numFmtId="0" fontId="21" fillId="29" borderId="16">
      <alignment horizontal="right" vertical="center"/>
    </xf>
    <xf numFmtId="0" fontId="21" fillId="29" borderId="16">
      <alignment horizontal="right" vertical="center"/>
    </xf>
    <xf numFmtId="0" fontId="21" fillId="29" borderId="16">
      <alignment horizontal="right" vertical="center"/>
    </xf>
    <xf numFmtId="0" fontId="21" fillId="29" borderId="16">
      <alignment horizontal="right" vertical="center"/>
    </xf>
    <xf numFmtId="0" fontId="21" fillId="29" borderId="16">
      <alignment horizontal="right" vertical="center"/>
    </xf>
    <xf numFmtId="0" fontId="21" fillId="29" borderId="16">
      <alignment horizontal="right" vertical="center"/>
    </xf>
    <xf numFmtId="0" fontId="21" fillId="29" borderId="16">
      <alignment horizontal="right" vertical="center"/>
    </xf>
    <xf numFmtId="0" fontId="21" fillId="29" borderId="16">
      <alignment horizontal="right" vertical="center"/>
    </xf>
    <xf numFmtId="0" fontId="21" fillId="29" borderId="16">
      <alignment horizontal="right" vertical="center"/>
    </xf>
    <xf numFmtId="0" fontId="21" fillId="29" borderId="16">
      <alignment horizontal="right" vertical="center"/>
    </xf>
    <xf numFmtId="0" fontId="21" fillId="29" borderId="16">
      <alignment horizontal="right" vertical="center"/>
    </xf>
    <xf numFmtId="0" fontId="21" fillId="29" borderId="16">
      <alignment horizontal="right" vertical="center"/>
    </xf>
    <xf numFmtId="0" fontId="21" fillId="29" borderId="16">
      <alignment horizontal="right" vertical="center"/>
    </xf>
    <xf numFmtId="0" fontId="21" fillId="29" borderId="16">
      <alignment horizontal="right" vertical="center"/>
    </xf>
    <xf numFmtId="0" fontId="21" fillId="29" borderId="16">
      <alignment horizontal="right" vertical="center"/>
    </xf>
    <xf numFmtId="0" fontId="21" fillId="29" borderId="16">
      <alignment horizontal="right" vertical="center"/>
    </xf>
    <xf numFmtId="0" fontId="21" fillId="29" borderId="16">
      <alignment horizontal="right" vertical="center"/>
    </xf>
    <xf numFmtId="0" fontId="21" fillId="29" borderId="16">
      <alignment horizontal="right" vertical="center"/>
    </xf>
    <xf numFmtId="0" fontId="21" fillId="29" borderId="16">
      <alignment horizontal="right" vertical="center"/>
    </xf>
    <xf numFmtId="0" fontId="21" fillId="29" borderId="19">
      <alignment horizontal="right" vertical="center"/>
    </xf>
    <xf numFmtId="0" fontId="21" fillId="29" borderId="16">
      <alignment horizontal="right" vertical="center"/>
    </xf>
    <xf numFmtId="4" fontId="21" fillId="29" borderId="16">
      <alignment horizontal="right" vertical="center"/>
    </xf>
    <xf numFmtId="4" fontId="21" fillId="29" borderId="16">
      <alignment horizontal="right" vertical="center"/>
    </xf>
    <xf numFmtId="4" fontId="21" fillId="29" borderId="16">
      <alignment horizontal="right" vertical="center"/>
    </xf>
    <xf numFmtId="4" fontId="21" fillId="29" borderId="16">
      <alignment horizontal="right" vertical="center"/>
    </xf>
    <xf numFmtId="4" fontId="21" fillId="29" borderId="16">
      <alignment horizontal="right" vertical="center"/>
    </xf>
    <xf numFmtId="4" fontId="21" fillId="29" borderId="16">
      <alignment horizontal="right" vertical="center"/>
    </xf>
    <xf numFmtId="4" fontId="21" fillId="29" borderId="16">
      <alignment horizontal="right" vertical="center"/>
    </xf>
    <xf numFmtId="4" fontId="21" fillId="29" borderId="16">
      <alignment horizontal="right" vertical="center"/>
    </xf>
    <xf numFmtId="4" fontId="21" fillId="29" borderId="16">
      <alignment horizontal="right" vertical="center"/>
    </xf>
    <xf numFmtId="4" fontId="21" fillId="29" borderId="16">
      <alignment horizontal="right" vertical="center"/>
    </xf>
    <xf numFmtId="4" fontId="21" fillId="29" borderId="16">
      <alignment horizontal="right" vertical="center"/>
    </xf>
    <xf numFmtId="4" fontId="21" fillId="29" borderId="16">
      <alignment horizontal="right" vertical="center"/>
    </xf>
    <xf numFmtId="4" fontId="21" fillId="29" borderId="16">
      <alignment horizontal="right" vertical="center"/>
    </xf>
    <xf numFmtId="4" fontId="21" fillId="29" borderId="16">
      <alignment horizontal="right" vertical="center"/>
    </xf>
    <xf numFmtId="4" fontId="21" fillId="29" borderId="16">
      <alignment horizontal="right" vertical="center"/>
    </xf>
    <xf numFmtId="4" fontId="21" fillId="29" borderId="16">
      <alignment horizontal="right" vertical="center"/>
    </xf>
    <xf numFmtId="4" fontId="21" fillId="29" borderId="16">
      <alignment horizontal="right" vertical="center"/>
    </xf>
    <xf numFmtId="4" fontId="21" fillId="29" borderId="16">
      <alignment horizontal="right" vertical="center"/>
    </xf>
    <xf numFmtId="4" fontId="21" fillId="29" borderId="16">
      <alignment horizontal="right" vertical="center"/>
    </xf>
    <xf numFmtId="4" fontId="21" fillId="29" borderId="16">
      <alignment horizontal="right" vertical="center"/>
    </xf>
    <xf numFmtId="4" fontId="21" fillId="29" borderId="16">
      <alignment horizontal="right" vertical="center"/>
    </xf>
    <xf numFmtId="4" fontId="21" fillId="29" borderId="16">
      <alignment horizontal="right" vertical="center"/>
    </xf>
    <xf numFmtId="4" fontId="21" fillId="29" borderId="16">
      <alignment horizontal="right" vertical="center"/>
    </xf>
    <xf numFmtId="4" fontId="21" fillId="29" borderId="16">
      <alignment horizontal="right" vertical="center"/>
    </xf>
    <xf numFmtId="4" fontId="21" fillId="29" borderId="16">
      <alignment horizontal="right" vertical="center"/>
    </xf>
    <xf numFmtId="4" fontId="21" fillId="29" borderId="16">
      <alignment horizontal="right" vertical="center"/>
    </xf>
    <xf numFmtId="4" fontId="21" fillId="29" borderId="16">
      <alignment horizontal="right" vertical="center"/>
    </xf>
    <xf numFmtId="4" fontId="21" fillId="29" borderId="16">
      <alignment horizontal="right" vertical="center"/>
    </xf>
    <xf numFmtId="0" fontId="21" fillId="29" borderId="16">
      <alignment horizontal="right" vertical="center"/>
    </xf>
    <xf numFmtId="0" fontId="21" fillId="29" borderId="16">
      <alignment horizontal="right" vertical="center"/>
    </xf>
    <xf numFmtId="0" fontId="21" fillId="29" borderId="16">
      <alignment horizontal="right" vertical="center"/>
    </xf>
    <xf numFmtId="0" fontId="21" fillId="29" borderId="16">
      <alignment horizontal="right" vertical="center"/>
    </xf>
    <xf numFmtId="0" fontId="21" fillId="29" borderId="16">
      <alignment horizontal="right" vertical="center"/>
    </xf>
    <xf numFmtId="0" fontId="21" fillId="29" borderId="16">
      <alignment horizontal="right" vertical="center"/>
    </xf>
    <xf numFmtId="0" fontId="21" fillId="29" borderId="16">
      <alignment horizontal="right" vertical="center"/>
    </xf>
    <xf numFmtId="0" fontId="21" fillId="29" borderId="16">
      <alignment horizontal="right" vertical="center"/>
    </xf>
    <xf numFmtId="0" fontId="21" fillId="29" borderId="16">
      <alignment horizontal="right" vertical="center"/>
    </xf>
    <xf numFmtId="0" fontId="21" fillId="29" borderId="16">
      <alignment horizontal="right" vertical="center"/>
    </xf>
    <xf numFmtId="0" fontId="21" fillId="29" borderId="16">
      <alignment horizontal="right" vertical="center"/>
    </xf>
    <xf numFmtId="0" fontId="21" fillId="29" borderId="16">
      <alignment horizontal="right" vertical="center"/>
    </xf>
    <xf numFmtId="0" fontId="21" fillId="29" borderId="16">
      <alignment horizontal="right" vertical="center"/>
    </xf>
    <xf numFmtId="0" fontId="21" fillId="29" borderId="16">
      <alignment horizontal="right" vertical="center"/>
    </xf>
    <xf numFmtId="0" fontId="21" fillId="29" borderId="16">
      <alignment horizontal="right" vertical="center"/>
    </xf>
    <xf numFmtId="0" fontId="21" fillId="29" borderId="16">
      <alignment horizontal="right" vertical="center"/>
    </xf>
    <xf numFmtId="0" fontId="21" fillId="29" borderId="16">
      <alignment horizontal="right" vertical="center"/>
    </xf>
    <xf numFmtId="0" fontId="21" fillId="29" borderId="16">
      <alignment horizontal="right" vertical="center"/>
    </xf>
    <xf numFmtId="0" fontId="21" fillId="29" borderId="16">
      <alignment horizontal="right" vertical="center"/>
    </xf>
    <xf numFmtId="0" fontId="21" fillId="29" borderId="16">
      <alignment horizontal="right" vertical="center"/>
    </xf>
    <xf numFmtId="0" fontId="21" fillId="29" borderId="16">
      <alignment horizontal="right" vertical="center"/>
    </xf>
    <xf numFmtId="0" fontId="21" fillId="29" borderId="16">
      <alignment horizontal="right" vertical="center"/>
    </xf>
    <xf numFmtId="0" fontId="21" fillId="29" borderId="16">
      <alignment horizontal="right" vertical="center"/>
    </xf>
    <xf numFmtId="0" fontId="21" fillId="29" borderId="16">
      <alignment horizontal="right" vertical="center"/>
    </xf>
    <xf numFmtId="0" fontId="21" fillId="29" borderId="16">
      <alignment horizontal="right" vertical="center"/>
    </xf>
    <xf numFmtId="0" fontId="21" fillId="29" borderId="16">
      <alignment horizontal="right" vertical="center"/>
    </xf>
    <xf numFmtId="0" fontId="21" fillId="29" borderId="16">
      <alignment horizontal="right" vertical="center"/>
    </xf>
    <xf numFmtId="0" fontId="21" fillId="29" borderId="20">
      <alignment horizontal="right" vertical="center"/>
    </xf>
    <xf numFmtId="0" fontId="21" fillId="29" borderId="17">
      <alignment horizontal="right" vertical="center"/>
    </xf>
    <xf numFmtId="4" fontId="21" fillId="29" borderId="17">
      <alignment horizontal="right" vertical="center"/>
    </xf>
    <xf numFmtId="4" fontId="21" fillId="29" borderId="17">
      <alignment horizontal="right" vertical="center"/>
    </xf>
    <xf numFmtId="4" fontId="21" fillId="29" borderId="17">
      <alignment horizontal="right" vertical="center"/>
    </xf>
    <xf numFmtId="4" fontId="21" fillId="29" borderId="17">
      <alignment horizontal="right" vertical="center"/>
    </xf>
    <xf numFmtId="4" fontId="21" fillId="29" borderId="17">
      <alignment horizontal="right" vertical="center"/>
    </xf>
    <xf numFmtId="4" fontId="21" fillId="29" borderId="17">
      <alignment horizontal="right" vertical="center"/>
    </xf>
    <xf numFmtId="4" fontId="21" fillId="29" borderId="17">
      <alignment horizontal="right" vertical="center"/>
    </xf>
    <xf numFmtId="4" fontId="21" fillId="29" borderId="17">
      <alignment horizontal="right" vertical="center"/>
    </xf>
    <xf numFmtId="4" fontId="21" fillId="29" borderId="17">
      <alignment horizontal="right" vertical="center"/>
    </xf>
    <xf numFmtId="4" fontId="21" fillId="29" borderId="17">
      <alignment horizontal="right" vertical="center"/>
    </xf>
    <xf numFmtId="4" fontId="21" fillId="29" borderId="17">
      <alignment horizontal="right" vertical="center"/>
    </xf>
    <xf numFmtId="4" fontId="21" fillId="29" borderId="17">
      <alignment horizontal="right" vertical="center"/>
    </xf>
    <xf numFmtId="4" fontId="21" fillId="29" borderId="17">
      <alignment horizontal="right" vertical="center"/>
    </xf>
    <xf numFmtId="4" fontId="21" fillId="29" borderId="17">
      <alignment horizontal="right" vertical="center"/>
    </xf>
    <xf numFmtId="4" fontId="21" fillId="29" borderId="17">
      <alignment horizontal="right" vertical="center"/>
    </xf>
    <xf numFmtId="4" fontId="21" fillId="29" borderId="17">
      <alignment horizontal="right" vertical="center"/>
    </xf>
    <xf numFmtId="4" fontId="21" fillId="29" borderId="17">
      <alignment horizontal="right" vertical="center"/>
    </xf>
    <xf numFmtId="4" fontId="21" fillId="29" borderId="17">
      <alignment horizontal="right" vertical="center"/>
    </xf>
    <xf numFmtId="4" fontId="21" fillId="29" borderId="17">
      <alignment horizontal="right" vertical="center"/>
    </xf>
    <xf numFmtId="4" fontId="21" fillId="29" borderId="17">
      <alignment horizontal="right" vertical="center"/>
    </xf>
    <xf numFmtId="4" fontId="21" fillId="29" borderId="17">
      <alignment horizontal="right" vertical="center"/>
    </xf>
    <xf numFmtId="4" fontId="21" fillId="29" borderId="17">
      <alignment horizontal="right" vertical="center"/>
    </xf>
    <xf numFmtId="4" fontId="21" fillId="29" borderId="17">
      <alignment horizontal="right" vertical="center"/>
    </xf>
    <xf numFmtId="4" fontId="21" fillId="29" borderId="17">
      <alignment horizontal="right" vertical="center"/>
    </xf>
    <xf numFmtId="4" fontId="21" fillId="29" borderId="17">
      <alignment horizontal="right" vertical="center"/>
    </xf>
    <xf numFmtId="4" fontId="21" fillId="29" borderId="17">
      <alignment horizontal="right" vertical="center"/>
    </xf>
    <xf numFmtId="4" fontId="21" fillId="29" borderId="17">
      <alignment horizontal="right" vertical="center"/>
    </xf>
    <xf numFmtId="4" fontId="21" fillId="29" borderId="17">
      <alignment horizontal="right" vertical="center"/>
    </xf>
    <xf numFmtId="4" fontId="21" fillId="29" borderId="17">
      <alignment horizontal="right" vertical="center"/>
    </xf>
    <xf numFmtId="4" fontId="21" fillId="29" borderId="17">
      <alignment horizontal="right" vertical="center"/>
    </xf>
    <xf numFmtId="0" fontId="21" fillId="29" borderId="17">
      <alignment horizontal="right" vertical="center"/>
    </xf>
    <xf numFmtId="0" fontId="21" fillId="29" borderId="17">
      <alignment horizontal="right" vertical="center"/>
    </xf>
    <xf numFmtId="0" fontId="21" fillId="29" borderId="17">
      <alignment horizontal="right" vertical="center"/>
    </xf>
    <xf numFmtId="0" fontId="21" fillId="29" borderId="17">
      <alignment horizontal="right" vertical="center"/>
    </xf>
    <xf numFmtId="0" fontId="21" fillId="29" borderId="17">
      <alignment horizontal="right" vertical="center"/>
    </xf>
    <xf numFmtId="0" fontId="21" fillId="29" borderId="17">
      <alignment horizontal="right" vertical="center"/>
    </xf>
    <xf numFmtId="0" fontId="21" fillId="29" borderId="17">
      <alignment horizontal="right" vertical="center"/>
    </xf>
    <xf numFmtId="0" fontId="21" fillId="29" borderId="17">
      <alignment horizontal="right" vertical="center"/>
    </xf>
    <xf numFmtId="0" fontId="21" fillId="29" borderId="17">
      <alignment horizontal="right" vertical="center"/>
    </xf>
    <xf numFmtId="0" fontId="21" fillId="29" borderId="17">
      <alignment horizontal="right" vertical="center"/>
    </xf>
    <xf numFmtId="0" fontId="21" fillId="29" borderId="17">
      <alignment horizontal="right" vertical="center"/>
    </xf>
    <xf numFmtId="0" fontId="21" fillId="29" borderId="17">
      <alignment horizontal="right" vertical="center"/>
    </xf>
    <xf numFmtId="0" fontId="21" fillId="29" borderId="17">
      <alignment horizontal="right" vertical="center"/>
    </xf>
    <xf numFmtId="0" fontId="21" fillId="29" borderId="17">
      <alignment horizontal="right" vertical="center"/>
    </xf>
    <xf numFmtId="0" fontId="21" fillId="29" borderId="17">
      <alignment horizontal="right" vertical="center"/>
    </xf>
    <xf numFmtId="0" fontId="21" fillId="29" borderId="17">
      <alignment horizontal="right" vertical="center"/>
    </xf>
    <xf numFmtId="0" fontId="21" fillId="29" borderId="17">
      <alignment horizontal="right" vertical="center"/>
    </xf>
    <xf numFmtId="0" fontId="21" fillId="29" borderId="17">
      <alignment horizontal="right" vertical="center"/>
    </xf>
    <xf numFmtId="0" fontId="21" fillId="29" borderId="17">
      <alignment horizontal="right" vertical="center"/>
    </xf>
    <xf numFmtId="0" fontId="21" fillId="29" borderId="17">
      <alignment horizontal="right" vertical="center"/>
    </xf>
    <xf numFmtId="0" fontId="21" fillId="29" borderId="17">
      <alignment horizontal="right" vertical="center"/>
    </xf>
    <xf numFmtId="0" fontId="21" fillId="29" borderId="17">
      <alignment horizontal="right" vertical="center"/>
    </xf>
    <xf numFmtId="0" fontId="21" fillId="29" borderId="17">
      <alignment horizontal="right" vertical="center"/>
    </xf>
    <xf numFmtId="0" fontId="21" fillId="29" borderId="17">
      <alignment horizontal="right" vertical="center"/>
    </xf>
    <xf numFmtId="0" fontId="21" fillId="29" borderId="17">
      <alignment horizontal="right" vertical="center"/>
    </xf>
    <xf numFmtId="0" fontId="21" fillId="29" borderId="17">
      <alignment horizontal="right" vertical="center"/>
    </xf>
    <xf numFmtId="0" fontId="21" fillId="29" borderId="17">
      <alignment horizontal="right" vertical="center"/>
    </xf>
    <xf numFmtId="0" fontId="21" fillId="29" borderId="17">
      <alignment horizontal="right" vertical="center"/>
    </xf>
    <xf numFmtId="0" fontId="21" fillId="29" borderId="17">
      <alignment horizontal="right" vertical="center"/>
    </xf>
    <xf numFmtId="0" fontId="21" fillId="29" borderId="21">
      <alignment horizontal="right" vertical="center"/>
    </xf>
    <xf numFmtId="4" fontId="21" fillId="29" borderId="21">
      <alignment horizontal="right" vertical="center"/>
    </xf>
    <xf numFmtId="4" fontId="21" fillId="29" borderId="21">
      <alignment horizontal="right" vertical="center"/>
    </xf>
    <xf numFmtId="4" fontId="21" fillId="29" borderId="21">
      <alignment horizontal="right" vertical="center"/>
    </xf>
    <xf numFmtId="4" fontId="21" fillId="29" borderId="21">
      <alignment horizontal="right" vertical="center"/>
    </xf>
    <xf numFmtId="4" fontId="21" fillId="29" borderId="21">
      <alignment horizontal="right" vertical="center"/>
    </xf>
    <xf numFmtId="4" fontId="21" fillId="29" borderId="21">
      <alignment horizontal="right" vertical="center"/>
    </xf>
    <xf numFmtId="4" fontId="21" fillId="29" borderId="21">
      <alignment horizontal="right" vertical="center"/>
    </xf>
    <xf numFmtId="4" fontId="21" fillId="29" borderId="21">
      <alignment horizontal="right" vertical="center"/>
    </xf>
    <xf numFmtId="4" fontId="21" fillId="29" borderId="21">
      <alignment horizontal="right" vertical="center"/>
    </xf>
    <xf numFmtId="4" fontId="21" fillId="29" borderId="21">
      <alignment horizontal="right" vertical="center"/>
    </xf>
    <xf numFmtId="4" fontId="21" fillId="29" borderId="21">
      <alignment horizontal="right" vertical="center"/>
    </xf>
    <xf numFmtId="4" fontId="21" fillId="29" borderId="21">
      <alignment horizontal="right" vertical="center"/>
    </xf>
    <xf numFmtId="4" fontId="21" fillId="29" borderId="21">
      <alignment horizontal="right" vertical="center"/>
    </xf>
    <xf numFmtId="4" fontId="21" fillId="29" borderId="21">
      <alignment horizontal="right" vertical="center"/>
    </xf>
    <xf numFmtId="4" fontId="21" fillId="29" borderId="21">
      <alignment horizontal="right" vertical="center"/>
    </xf>
    <xf numFmtId="4" fontId="21" fillId="29" borderId="21">
      <alignment horizontal="right" vertical="center"/>
    </xf>
    <xf numFmtId="4" fontId="21" fillId="29" borderId="21">
      <alignment horizontal="right" vertical="center"/>
    </xf>
    <xf numFmtId="4" fontId="21" fillId="29" borderId="21">
      <alignment horizontal="right" vertical="center"/>
    </xf>
    <xf numFmtId="4" fontId="21" fillId="29" borderId="21">
      <alignment horizontal="right" vertical="center"/>
    </xf>
    <xf numFmtId="4" fontId="21" fillId="29" borderId="21">
      <alignment horizontal="right" vertical="center"/>
    </xf>
    <xf numFmtId="4" fontId="21" fillId="29" borderId="21">
      <alignment horizontal="right" vertical="center"/>
    </xf>
    <xf numFmtId="4" fontId="21" fillId="29" borderId="21">
      <alignment horizontal="right" vertical="center"/>
    </xf>
    <xf numFmtId="4" fontId="21" fillId="29" borderId="21">
      <alignment horizontal="right" vertical="center"/>
    </xf>
    <xf numFmtId="4" fontId="21" fillId="29" borderId="21">
      <alignment horizontal="right" vertical="center"/>
    </xf>
    <xf numFmtId="4" fontId="21" fillId="29" borderId="21">
      <alignment horizontal="right" vertical="center"/>
    </xf>
    <xf numFmtId="4" fontId="21" fillId="29" borderId="21">
      <alignment horizontal="right" vertical="center"/>
    </xf>
    <xf numFmtId="4" fontId="21" fillId="29" borderId="21">
      <alignment horizontal="right" vertical="center"/>
    </xf>
    <xf numFmtId="4" fontId="21" fillId="29" borderId="21">
      <alignment horizontal="right" vertical="center"/>
    </xf>
    <xf numFmtId="4" fontId="21" fillId="29" borderId="21">
      <alignment horizontal="right" vertical="center"/>
    </xf>
    <xf numFmtId="4" fontId="21" fillId="29" borderId="21">
      <alignment horizontal="right" vertical="center"/>
    </xf>
    <xf numFmtId="4" fontId="21" fillId="29" borderId="21">
      <alignment horizontal="right" vertical="center"/>
    </xf>
    <xf numFmtId="4" fontId="21" fillId="29" borderId="21">
      <alignment horizontal="right" vertical="center"/>
    </xf>
    <xf numFmtId="4" fontId="21" fillId="29" borderId="21">
      <alignment horizontal="right" vertical="center"/>
    </xf>
    <xf numFmtId="4" fontId="21" fillId="29" borderId="21">
      <alignment horizontal="right" vertical="center"/>
    </xf>
    <xf numFmtId="4" fontId="21" fillId="29" borderId="21">
      <alignment horizontal="right" vertical="center"/>
    </xf>
    <xf numFmtId="4" fontId="21" fillId="29" borderId="21">
      <alignment horizontal="right" vertical="center"/>
    </xf>
    <xf numFmtId="4" fontId="21" fillId="29" borderId="21">
      <alignment horizontal="right" vertical="center"/>
    </xf>
    <xf numFmtId="4" fontId="21" fillId="29" borderId="21">
      <alignment horizontal="right" vertical="center"/>
    </xf>
    <xf numFmtId="4" fontId="21" fillId="29" borderId="21">
      <alignment horizontal="right" vertical="center"/>
    </xf>
    <xf numFmtId="4" fontId="21" fillId="29" borderId="21">
      <alignment horizontal="right" vertical="center"/>
    </xf>
    <xf numFmtId="4" fontId="21" fillId="29" borderId="21">
      <alignment horizontal="right" vertical="center"/>
    </xf>
    <xf numFmtId="4" fontId="21" fillId="29" borderId="21">
      <alignment horizontal="right" vertical="center"/>
    </xf>
    <xf numFmtId="0" fontId="21" fillId="29" borderId="21">
      <alignment horizontal="right" vertical="center"/>
    </xf>
    <xf numFmtId="0" fontId="21" fillId="29" borderId="21">
      <alignment horizontal="right" vertical="center"/>
    </xf>
    <xf numFmtId="0" fontId="21" fillId="29" borderId="21">
      <alignment horizontal="right" vertical="center"/>
    </xf>
    <xf numFmtId="0" fontId="21" fillId="29" borderId="21">
      <alignment horizontal="right" vertical="center"/>
    </xf>
    <xf numFmtId="0" fontId="21" fillId="29" borderId="21">
      <alignment horizontal="right" vertical="center"/>
    </xf>
    <xf numFmtId="0" fontId="21" fillId="29" borderId="21">
      <alignment horizontal="right" vertical="center"/>
    </xf>
    <xf numFmtId="0" fontId="21" fillId="29" borderId="21">
      <alignment horizontal="right" vertical="center"/>
    </xf>
    <xf numFmtId="0" fontId="21" fillId="29" borderId="21">
      <alignment horizontal="right" vertical="center"/>
    </xf>
    <xf numFmtId="0" fontId="21" fillId="29" borderId="21">
      <alignment horizontal="right" vertical="center"/>
    </xf>
    <xf numFmtId="0" fontId="21" fillId="29" borderId="21">
      <alignment horizontal="right" vertical="center"/>
    </xf>
    <xf numFmtId="0" fontId="21" fillId="29" borderId="21">
      <alignment horizontal="right" vertical="center"/>
    </xf>
    <xf numFmtId="0" fontId="21" fillId="29" borderId="21">
      <alignment horizontal="right" vertical="center"/>
    </xf>
    <xf numFmtId="0" fontId="21" fillId="29" borderId="21">
      <alignment horizontal="right" vertical="center"/>
    </xf>
    <xf numFmtId="0" fontId="21" fillId="29" borderId="21">
      <alignment horizontal="right" vertical="center"/>
    </xf>
    <xf numFmtId="0" fontId="21" fillId="29" borderId="21">
      <alignment horizontal="right" vertical="center"/>
    </xf>
    <xf numFmtId="0" fontId="21" fillId="29" borderId="21">
      <alignment horizontal="right" vertical="center"/>
    </xf>
    <xf numFmtId="0" fontId="21" fillId="29" borderId="21">
      <alignment horizontal="right" vertical="center"/>
    </xf>
    <xf numFmtId="0" fontId="21" fillId="29" borderId="21">
      <alignment horizontal="right" vertical="center"/>
    </xf>
    <xf numFmtId="0" fontId="21" fillId="29" borderId="21">
      <alignment horizontal="right" vertical="center"/>
    </xf>
    <xf numFmtId="0" fontId="21" fillId="29" borderId="21">
      <alignment horizontal="right" vertical="center"/>
    </xf>
    <xf numFmtId="0" fontId="21" fillId="29" borderId="21">
      <alignment horizontal="right" vertical="center"/>
    </xf>
    <xf numFmtId="0" fontId="21" fillId="29" borderId="21">
      <alignment horizontal="right" vertical="center"/>
    </xf>
    <xf numFmtId="0" fontId="21" fillId="29" borderId="21">
      <alignment horizontal="right" vertical="center"/>
    </xf>
    <xf numFmtId="0" fontId="21" fillId="29" borderId="21">
      <alignment horizontal="right" vertical="center"/>
    </xf>
    <xf numFmtId="0" fontId="21" fillId="29" borderId="21">
      <alignment horizontal="right" vertical="center"/>
    </xf>
    <xf numFmtId="0" fontId="21" fillId="29" borderId="21">
      <alignment horizontal="right" vertical="center"/>
    </xf>
    <xf numFmtId="0" fontId="21" fillId="29" borderId="21">
      <alignment horizontal="right" vertical="center"/>
    </xf>
    <xf numFmtId="0" fontId="21" fillId="29" borderId="21">
      <alignment horizontal="right" vertical="center"/>
    </xf>
    <xf numFmtId="0" fontId="21" fillId="29" borderId="21">
      <alignment horizontal="right" vertical="center"/>
    </xf>
    <xf numFmtId="0" fontId="21" fillId="29" borderId="21">
      <alignment horizontal="right" vertical="center"/>
    </xf>
    <xf numFmtId="0" fontId="21" fillId="29" borderId="21">
      <alignment horizontal="right" vertical="center"/>
    </xf>
    <xf numFmtId="0" fontId="21" fillId="29" borderId="21">
      <alignment horizontal="right" vertical="center"/>
    </xf>
    <xf numFmtId="0" fontId="21" fillId="29" borderId="21">
      <alignment horizontal="right" vertical="center"/>
    </xf>
    <xf numFmtId="0" fontId="21" fillId="29" borderId="21">
      <alignment horizontal="right" vertical="center"/>
    </xf>
    <xf numFmtId="0" fontId="21" fillId="29" borderId="21">
      <alignment horizontal="right" vertical="center"/>
    </xf>
    <xf numFmtId="0" fontId="21" fillId="29" borderId="21">
      <alignment horizontal="right" vertical="center"/>
    </xf>
    <xf numFmtId="0" fontId="21" fillId="29" borderId="21">
      <alignment horizontal="right" vertical="center"/>
    </xf>
    <xf numFmtId="0" fontId="21" fillId="29" borderId="21">
      <alignment horizontal="right" vertical="center"/>
    </xf>
    <xf numFmtId="0" fontId="21" fillId="29" borderId="21">
      <alignment horizontal="right" vertical="center"/>
    </xf>
    <xf numFmtId="0" fontId="21" fillId="29" borderId="21">
      <alignment horizontal="right" vertical="center"/>
    </xf>
    <xf numFmtId="0" fontId="21" fillId="29" borderId="21">
      <alignment horizontal="right" vertical="center"/>
    </xf>
    <xf numFmtId="4" fontId="21" fillId="29" borderId="21">
      <alignment horizontal="right" vertical="center"/>
    </xf>
    <xf numFmtId="0" fontId="18" fillId="25" borderId="0" applyNumberFormat="0" applyBorder="0" applyAlignment="0" applyProtection="0"/>
    <xf numFmtId="0" fontId="18" fillId="8" borderId="0" applyNumberFormat="0" applyBorder="0" applyAlignment="0" applyProtection="0"/>
    <xf numFmtId="0" fontId="18" fillId="26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4" borderId="0" applyNumberFormat="0" applyBorder="0" applyAlignment="0" applyProtection="0"/>
    <xf numFmtId="0" fontId="7" fillId="19" borderId="22" applyNumberFormat="0" applyFont="0" applyAlignment="0" applyProtection="0"/>
    <xf numFmtId="0" fontId="7" fillId="19" borderId="22" applyNumberFormat="0" applyFont="0" applyAlignment="0" applyProtection="0"/>
    <xf numFmtId="0" fontId="7" fillId="19" borderId="22" applyNumberFormat="0" applyFont="0" applyAlignment="0" applyProtection="0"/>
    <xf numFmtId="0" fontId="23" fillId="9" borderId="23" applyNumberFormat="0" applyAlignment="0" applyProtection="0"/>
    <xf numFmtId="0" fontId="23" fillId="9" borderId="23" applyNumberFormat="0" applyAlignment="0" applyProtection="0"/>
    <xf numFmtId="0" fontId="23" fillId="9" borderId="23" applyNumberFormat="0" applyAlignment="0" applyProtection="0"/>
    <xf numFmtId="0" fontId="23" fillId="9" borderId="23" applyNumberFormat="0" applyAlignment="0" applyProtection="0"/>
    <xf numFmtId="0" fontId="23" fillId="9" borderId="23" applyNumberFormat="0" applyAlignment="0" applyProtection="0"/>
    <xf numFmtId="0" fontId="23" fillId="9" borderId="23" applyNumberFormat="0" applyAlignment="0" applyProtection="0"/>
    <xf numFmtId="0" fontId="23" fillId="9" borderId="23" applyNumberFormat="0" applyAlignment="0" applyProtection="0"/>
    <xf numFmtId="0" fontId="23" fillId="9" borderId="23" applyNumberFormat="0" applyAlignment="0" applyProtection="0"/>
    <xf numFmtId="0" fontId="23" fillId="9" borderId="23" applyNumberFormat="0" applyAlignment="0" applyProtection="0"/>
    <xf numFmtId="0" fontId="23" fillId="9" borderId="23" applyNumberFormat="0" applyAlignment="0" applyProtection="0"/>
    <xf numFmtId="0" fontId="23" fillId="9" borderId="23" applyNumberFormat="0" applyAlignment="0" applyProtection="0"/>
    <xf numFmtId="0" fontId="23" fillId="9" borderId="23" applyNumberFormat="0" applyAlignment="0" applyProtection="0"/>
    <xf numFmtId="0" fontId="23" fillId="9" borderId="23" applyNumberFormat="0" applyAlignment="0" applyProtection="0"/>
    <xf numFmtId="0" fontId="23" fillId="9" borderId="23" applyNumberFormat="0" applyAlignment="0" applyProtection="0"/>
    <xf numFmtId="0" fontId="23" fillId="9" borderId="23" applyNumberFormat="0" applyAlignment="0" applyProtection="0"/>
    <xf numFmtId="0" fontId="23" fillId="9" borderId="23" applyNumberFormat="0" applyAlignment="0" applyProtection="0"/>
    <xf numFmtId="0" fontId="24" fillId="9" borderId="23" applyNumberFormat="0" applyAlignment="0" applyProtection="0"/>
    <xf numFmtId="0" fontId="24" fillId="9" borderId="23" applyNumberFormat="0" applyAlignment="0" applyProtection="0"/>
    <xf numFmtId="0" fontId="24" fillId="9" borderId="23" applyNumberFormat="0" applyAlignment="0" applyProtection="0"/>
    <xf numFmtId="0" fontId="24" fillId="9" borderId="23" applyNumberFormat="0" applyAlignment="0" applyProtection="0"/>
    <xf numFmtId="0" fontId="24" fillId="9" borderId="23" applyNumberFormat="0" applyAlignment="0" applyProtection="0"/>
    <xf numFmtId="0" fontId="24" fillId="9" borderId="23" applyNumberFormat="0" applyAlignment="0" applyProtection="0"/>
    <xf numFmtId="0" fontId="24" fillId="9" borderId="23" applyNumberFormat="0" applyAlignment="0" applyProtection="0"/>
    <xf numFmtId="0" fontId="24" fillId="9" borderId="23" applyNumberFormat="0" applyAlignment="0" applyProtection="0"/>
    <xf numFmtId="0" fontId="24" fillId="9" borderId="23" applyNumberFormat="0" applyAlignment="0" applyProtection="0"/>
    <xf numFmtId="0" fontId="24" fillId="9" borderId="23" applyNumberFormat="0" applyAlignment="0" applyProtection="0"/>
    <xf numFmtId="0" fontId="24" fillId="9" borderId="23" applyNumberFormat="0" applyAlignment="0" applyProtection="0"/>
    <xf numFmtId="0" fontId="24" fillId="9" borderId="23" applyNumberFormat="0" applyAlignment="0" applyProtection="0"/>
    <xf numFmtId="0" fontId="24" fillId="9" borderId="23" applyNumberFormat="0" applyAlignment="0" applyProtection="0"/>
    <xf numFmtId="0" fontId="24" fillId="9" borderId="23" applyNumberFormat="0" applyAlignment="0" applyProtection="0"/>
    <xf numFmtId="0" fontId="24" fillId="9" borderId="23" applyNumberFormat="0" applyAlignment="0" applyProtection="0"/>
    <xf numFmtId="0" fontId="23" fillId="9" borderId="23" applyNumberFormat="0" applyAlignment="0" applyProtection="0"/>
    <xf numFmtId="0" fontId="23" fillId="9" borderId="23" applyNumberFormat="0" applyAlignment="0" applyProtection="0"/>
    <xf numFmtId="0" fontId="23" fillId="9" borderId="23" applyNumberFormat="0" applyAlignment="0" applyProtection="0"/>
    <xf numFmtId="0" fontId="23" fillId="9" borderId="23" applyNumberFormat="0" applyAlignment="0" applyProtection="0"/>
    <xf numFmtId="0" fontId="23" fillId="9" borderId="23" applyNumberFormat="0" applyAlignment="0" applyProtection="0"/>
    <xf numFmtId="0" fontId="23" fillId="9" borderId="23" applyNumberFormat="0" applyAlignment="0" applyProtection="0"/>
    <xf numFmtId="0" fontId="23" fillId="9" borderId="23" applyNumberFormat="0" applyAlignment="0" applyProtection="0"/>
    <xf numFmtId="0" fontId="23" fillId="9" borderId="23" applyNumberFormat="0" applyAlignment="0" applyProtection="0"/>
    <xf numFmtId="0" fontId="23" fillId="9" borderId="23" applyNumberFormat="0" applyAlignment="0" applyProtection="0"/>
    <xf numFmtId="0" fontId="23" fillId="9" borderId="23" applyNumberFormat="0" applyAlignment="0" applyProtection="0"/>
    <xf numFmtId="0" fontId="23" fillId="9" borderId="23" applyNumberFormat="0" applyAlignment="0" applyProtection="0"/>
    <xf numFmtId="0" fontId="25" fillId="0" borderId="0" applyNumberFormat="0" applyFill="0" applyBorder="0" applyAlignment="0" applyProtection="0"/>
    <xf numFmtId="0" fontId="26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6" fillId="12" borderId="0" applyNumberFormat="0" applyBorder="0" applyAlignment="0" applyProtection="0"/>
    <xf numFmtId="0" fontId="28" fillId="9" borderId="24" applyNumberFormat="0" applyAlignment="0" applyProtection="0"/>
    <xf numFmtId="0" fontId="28" fillId="9" borderId="24" applyNumberFormat="0" applyAlignment="0" applyProtection="0"/>
    <xf numFmtId="0" fontId="28" fillId="9" borderId="24" applyNumberFormat="0" applyAlignment="0" applyProtection="0"/>
    <xf numFmtId="0" fontId="28" fillId="9" borderId="24" applyNumberFormat="0" applyAlignment="0" applyProtection="0"/>
    <xf numFmtId="0" fontId="28" fillId="9" borderId="24" applyNumberFormat="0" applyAlignment="0" applyProtection="0"/>
    <xf numFmtId="0" fontId="28" fillId="9" borderId="24" applyNumberFormat="0" applyAlignment="0" applyProtection="0"/>
    <xf numFmtId="0" fontId="28" fillId="9" borderId="24" applyNumberFormat="0" applyAlignment="0" applyProtection="0"/>
    <xf numFmtId="0" fontId="28" fillId="9" borderId="24" applyNumberFormat="0" applyAlignment="0" applyProtection="0"/>
    <xf numFmtId="0" fontId="28" fillId="9" borderId="24" applyNumberFormat="0" applyAlignment="0" applyProtection="0"/>
    <xf numFmtId="0" fontId="28" fillId="9" borderId="24" applyNumberFormat="0" applyAlignment="0" applyProtection="0"/>
    <xf numFmtId="0" fontId="28" fillId="9" borderId="24" applyNumberFormat="0" applyAlignment="0" applyProtection="0"/>
    <xf numFmtId="0" fontId="29" fillId="9" borderId="24" applyNumberFormat="0" applyAlignment="0" applyProtection="0"/>
    <xf numFmtId="0" fontId="29" fillId="9" borderId="24" applyNumberFormat="0" applyAlignment="0" applyProtection="0"/>
    <xf numFmtId="0" fontId="29" fillId="9" borderId="24" applyNumberFormat="0" applyAlignment="0" applyProtection="0"/>
    <xf numFmtId="0" fontId="29" fillId="9" borderId="24" applyNumberFormat="0" applyAlignment="0" applyProtection="0"/>
    <xf numFmtId="0" fontId="29" fillId="9" borderId="24" applyNumberFormat="0" applyAlignment="0" applyProtection="0"/>
    <xf numFmtId="0" fontId="29" fillId="9" borderId="24" applyNumberFormat="0" applyAlignment="0" applyProtection="0"/>
    <xf numFmtId="0" fontId="29" fillId="9" borderId="24" applyNumberFormat="0" applyAlignment="0" applyProtection="0"/>
    <xf numFmtId="0" fontId="29" fillId="9" borderId="24" applyNumberFormat="0" applyAlignment="0" applyProtection="0"/>
    <xf numFmtId="0" fontId="28" fillId="9" borderId="24" applyNumberFormat="0" applyAlignment="0" applyProtection="0"/>
    <xf numFmtId="0" fontId="28" fillId="9" borderId="24" applyNumberFormat="0" applyAlignment="0" applyProtection="0"/>
    <xf numFmtId="0" fontId="28" fillId="9" borderId="24" applyNumberFormat="0" applyAlignment="0" applyProtection="0"/>
    <xf numFmtId="0" fontId="28" fillId="9" borderId="24" applyNumberFormat="0" applyAlignment="0" applyProtection="0"/>
    <xf numFmtId="0" fontId="28" fillId="9" borderId="24" applyNumberFormat="0" applyAlignment="0" applyProtection="0"/>
    <xf numFmtId="0" fontId="28" fillId="9" borderId="24" applyNumberFormat="0" applyAlignment="0" applyProtection="0"/>
    <xf numFmtId="0" fontId="28" fillId="9" borderId="24" applyNumberFormat="0" applyAlignment="0" applyProtection="0"/>
    <xf numFmtId="4" fontId="20" fillId="0" borderId="25" applyFill="0" applyBorder="0" applyProtection="0">
      <alignment horizontal="right" vertical="center"/>
    </xf>
    <xf numFmtId="0" fontId="30" fillId="6" borderId="0" applyNumberFormat="0" applyBorder="0" applyAlignment="0" applyProtection="0"/>
    <xf numFmtId="0" fontId="31" fillId="30" borderId="24" applyNumberFormat="0" applyAlignment="0" applyProtection="0"/>
    <xf numFmtId="0" fontId="31" fillId="30" borderId="24" applyNumberFormat="0" applyAlignment="0" applyProtection="0"/>
    <xf numFmtId="0" fontId="29" fillId="9" borderId="24" applyNumberFormat="0" applyAlignment="0" applyProtection="0"/>
    <xf numFmtId="0" fontId="29" fillId="9" borderId="24" applyNumberFormat="0" applyAlignment="0" applyProtection="0"/>
    <xf numFmtId="0" fontId="29" fillId="9" borderId="24" applyNumberFormat="0" applyAlignment="0" applyProtection="0"/>
    <xf numFmtId="0" fontId="29" fillId="9" borderId="24" applyNumberFormat="0" applyAlignment="0" applyProtection="0"/>
    <xf numFmtId="0" fontId="29" fillId="9" borderId="24" applyNumberFormat="0" applyAlignment="0" applyProtection="0"/>
    <xf numFmtId="0" fontId="29" fillId="9" borderId="24" applyNumberFormat="0" applyAlignment="0" applyProtection="0"/>
    <xf numFmtId="0" fontId="29" fillId="9" borderId="24" applyNumberFormat="0" applyAlignment="0" applyProtection="0"/>
    <xf numFmtId="0" fontId="29" fillId="9" borderId="24" applyNumberFormat="0" applyAlignment="0" applyProtection="0"/>
    <xf numFmtId="0" fontId="29" fillId="9" borderId="24" applyNumberFormat="0" applyAlignment="0" applyProtection="0"/>
    <xf numFmtId="0" fontId="29" fillId="9" borderId="24" applyNumberFormat="0" applyAlignment="0" applyProtection="0"/>
    <xf numFmtId="0" fontId="29" fillId="9" borderId="24" applyNumberFormat="0" applyAlignment="0" applyProtection="0"/>
    <xf numFmtId="0" fontId="29" fillId="9" borderId="24" applyNumberFormat="0" applyAlignment="0" applyProtection="0"/>
    <xf numFmtId="0" fontId="29" fillId="9" borderId="24" applyNumberFormat="0" applyAlignment="0" applyProtection="0"/>
    <xf numFmtId="0" fontId="29" fillId="9" borderId="24" applyNumberFormat="0" applyAlignment="0" applyProtection="0"/>
    <xf numFmtId="0" fontId="29" fillId="9" borderId="24" applyNumberFormat="0" applyAlignment="0" applyProtection="0"/>
    <xf numFmtId="0" fontId="29" fillId="9" borderId="24" applyNumberFormat="0" applyAlignment="0" applyProtection="0"/>
    <xf numFmtId="0" fontId="25" fillId="0" borderId="26" applyNumberFormat="0" applyFill="0" applyAlignment="0" applyProtection="0"/>
    <xf numFmtId="0" fontId="32" fillId="31" borderId="27" applyNumberFormat="0" applyAlignment="0" applyProtection="0"/>
    <xf numFmtId="0" fontId="33" fillId="31" borderId="27" applyNumberFormat="0" applyAlignment="0" applyProtection="0"/>
    <xf numFmtId="0" fontId="33" fillId="31" borderId="27" applyNumberFormat="0" applyAlignment="0" applyProtection="0"/>
    <xf numFmtId="0" fontId="32" fillId="31" borderId="27" applyNumberFormat="0" applyAlignment="0" applyProtection="0"/>
    <xf numFmtId="0" fontId="34" fillId="32" borderId="28">
      <alignment horizontal="center" vertical="center"/>
    </xf>
    <xf numFmtId="49" fontId="35" fillId="33" borderId="29">
      <alignment horizontal="center" vertical="center" wrapText="1"/>
    </xf>
    <xf numFmtId="49" fontId="35" fillId="34" borderId="30">
      <alignment horizontal="center" vertical="center" wrapText="1"/>
    </xf>
    <xf numFmtId="49" fontId="35" fillId="34" borderId="30">
      <alignment horizontal="center" vertical="center" wrapText="1"/>
    </xf>
    <xf numFmtId="49" fontId="35" fillId="34" borderId="30">
      <alignment horizontal="center" vertical="center" wrapText="1"/>
    </xf>
    <xf numFmtId="49" fontId="35" fillId="34" borderId="30">
      <alignment horizontal="center" vertical="center" wrapText="1"/>
    </xf>
    <xf numFmtId="49" fontId="35" fillId="35" borderId="30">
      <alignment horizontal="center" vertical="center" wrapText="1"/>
    </xf>
    <xf numFmtId="49" fontId="35" fillId="35" borderId="30">
      <alignment horizontal="center" vertical="center" wrapText="1"/>
    </xf>
    <xf numFmtId="49" fontId="35" fillId="35" borderId="30">
      <alignment horizontal="center" vertical="center" wrapText="1"/>
    </xf>
    <xf numFmtId="49" fontId="35" fillId="35" borderId="30">
      <alignment horizontal="center" vertical="center" wrapText="1"/>
    </xf>
    <xf numFmtId="49" fontId="35" fillId="35" borderId="30">
      <alignment horizontal="center" vertical="center" wrapText="1"/>
    </xf>
    <xf numFmtId="49" fontId="35" fillId="35" borderId="30">
      <alignment horizontal="center" vertical="center" wrapText="1"/>
    </xf>
    <xf numFmtId="49" fontId="35" fillId="35" borderId="30">
      <alignment horizontal="center" vertical="center" wrapText="1"/>
    </xf>
    <xf numFmtId="49" fontId="35" fillId="35" borderId="30">
      <alignment horizontal="center" vertical="center" wrapText="1"/>
    </xf>
    <xf numFmtId="49" fontId="35" fillId="34" borderId="30">
      <alignment horizontal="center" vertical="center" wrapText="1"/>
    </xf>
    <xf numFmtId="49" fontId="35" fillId="34" borderId="30">
      <alignment horizontal="center" vertical="center" wrapText="1"/>
    </xf>
    <xf numFmtId="49" fontId="35" fillId="34" borderId="30">
      <alignment horizontal="center" vertical="center" wrapText="1"/>
    </xf>
    <xf numFmtId="49" fontId="35" fillId="34" borderId="30">
      <alignment horizontal="center" vertical="center" wrapText="1"/>
    </xf>
    <xf numFmtId="49" fontId="35" fillId="33" borderId="31">
      <alignment horizontal="center" vertical="center" wrapText="1"/>
    </xf>
    <xf numFmtId="0" fontId="36" fillId="36" borderId="32">
      <alignment horizontal="left" vertical="center"/>
    </xf>
    <xf numFmtId="0" fontId="37" fillId="37" borderId="33">
      <alignment horizontal="center" vertical="center"/>
    </xf>
    <xf numFmtId="0" fontId="37" fillId="37" borderId="33">
      <alignment horizontal="center" vertical="center"/>
    </xf>
    <xf numFmtId="0" fontId="37" fillId="37" borderId="33">
      <alignment horizontal="center" vertical="center"/>
    </xf>
    <xf numFmtId="0" fontId="37" fillId="37" borderId="33">
      <alignment horizontal="center" vertical="center"/>
    </xf>
    <xf numFmtId="0" fontId="37" fillId="37" borderId="33">
      <alignment horizontal="center" vertical="center"/>
    </xf>
    <xf numFmtId="0" fontId="37" fillId="37" borderId="33">
      <alignment horizontal="center" vertical="center"/>
    </xf>
    <xf numFmtId="0" fontId="37" fillId="37" borderId="33">
      <alignment horizontal="center" vertical="center"/>
    </xf>
    <xf numFmtId="0" fontId="38" fillId="38" borderId="34">
      <alignment horizontal="left" vertical="top" wrapText="1"/>
    </xf>
    <xf numFmtId="0" fontId="38" fillId="38" borderId="34">
      <alignment horizontal="left" vertical="top" wrapText="1"/>
    </xf>
    <xf numFmtId="0" fontId="38" fillId="38" borderId="34">
      <alignment horizontal="left" vertical="top" wrapText="1"/>
    </xf>
    <xf numFmtId="0" fontId="38" fillId="38" borderId="34">
      <alignment horizontal="left" vertical="top" wrapText="1"/>
    </xf>
    <xf numFmtId="0" fontId="38" fillId="38" borderId="34">
      <alignment horizontal="left" vertical="top" wrapText="1"/>
    </xf>
    <xf numFmtId="0" fontId="38" fillId="38" borderId="34">
      <alignment horizontal="left" vertical="top" wrapText="1"/>
    </xf>
    <xf numFmtId="0" fontId="38" fillId="38" borderId="34">
      <alignment horizontal="left" vertical="top" wrapText="1"/>
    </xf>
    <xf numFmtId="49" fontId="35" fillId="39" borderId="35">
      <alignment vertical="center" wrapText="1"/>
    </xf>
    <xf numFmtId="49" fontId="35" fillId="39" borderId="35">
      <alignment vertical="center" wrapText="1"/>
    </xf>
    <xf numFmtId="49" fontId="35" fillId="39" borderId="35">
      <alignment vertical="center" wrapText="1"/>
    </xf>
    <xf numFmtId="49" fontId="35" fillId="39" borderId="35">
      <alignment vertical="center" wrapText="1"/>
    </xf>
    <xf numFmtId="49" fontId="35" fillId="40" borderId="35">
      <alignment wrapText="1"/>
    </xf>
    <xf numFmtId="49" fontId="35" fillId="40" borderId="35">
      <alignment wrapText="1"/>
    </xf>
    <xf numFmtId="49" fontId="35" fillId="40" borderId="35">
      <alignment wrapText="1"/>
    </xf>
    <xf numFmtId="49" fontId="35" fillId="40" borderId="35">
      <alignment wrapText="1"/>
    </xf>
    <xf numFmtId="49" fontId="35" fillId="41" borderId="35">
      <alignment wrapText="1"/>
    </xf>
    <xf numFmtId="49" fontId="35" fillId="41" borderId="35">
      <alignment wrapText="1"/>
    </xf>
    <xf numFmtId="49" fontId="35" fillId="41" borderId="35">
      <alignment wrapText="1"/>
    </xf>
    <xf numFmtId="49" fontId="35" fillId="41" borderId="35">
      <alignment wrapText="1"/>
    </xf>
    <xf numFmtId="49" fontId="35" fillId="42" borderId="35">
      <alignment vertical="center" wrapText="1"/>
    </xf>
    <xf numFmtId="49" fontId="35" fillId="42" borderId="35">
      <alignment vertical="center" wrapText="1"/>
    </xf>
    <xf numFmtId="49" fontId="35" fillId="42" borderId="35">
      <alignment vertical="center" wrapText="1"/>
    </xf>
    <xf numFmtId="49" fontId="35" fillId="42" borderId="35">
      <alignment vertical="center" wrapText="1"/>
    </xf>
    <xf numFmtId="49" fontId="35" fillId="43" borderId="35">
      <alignment wrapText="1"/>
    </xf>
    <xf numFmtId="49" fontId="35" fillId="43" borderId="35">
      <alignment wrapText="1"/>
    </xf>
    <xf numFmtId="49" fontId="35" fillId="43" borderId="35">
      <alignment wrapText="1"/>
    </xf>
    <xf numFmtId="49" fontId="35" fillId="43" borderId="35">
      <alignment wrapText="1"/>
    </xf>
    <xf numFmtId="49" fontId="35" fillId="44" borderId="35">
      <alignment vertical="center" wrapText="1"/>
    </xf>
    <xf numFmtId="49" fontId="35" fillId="44" borderId="35">
      <alignment vertical="center" wrapText="1"/>
    </xf>
    <xf numFmtId="49" fontId="35" fillId="44" borderId="35">
      <alignment vertical="center" wrapText="1"/>
    </xf>
    <xf numFmtId="49" fontId="35" fillId="44" borderId="35">
      <alignment vertical="center" wrapText="1"/>
    </xf>
    <xf numFmtId="49" fontId="35" fillId="45" borderId="35">
      <alignment vertical="center" wrapText="1"/>
    </xf>
    <xf numFmtId="49" fontId="35" fillId="45" borderId="35">
      <alignment vertical="center" wrapText="1"/>
    </xf>
    <xf numFmtId="49" fontId="35" fillId="45" borderId="35">
      <alignment vertical="center" wrapText="1"/>
    </xf>
    <xf numFmtId="49" fontId="35" fillId="45" borderId="35">
      <alignment vertical="center" wrapText="1"/>
    </xf>
    <xf numFmtId="49" fontId="35" fillId="46" borderId="30">
      <alignment vertical="center" wrapText="1"/>
    </xf>
    <xf numFmtId="49" fontId="35" fillId="46" borderId="30">
      <alignment vertical="center" wrapText="1"/>
    </xf>
    <xf numFmtId="49" fontId="35" fillId="46" borderId="30">
      <alignment vertical="center" wrapText="1"/>
    </xf>
    <xf numFmtId="49" fontId="35" fillId="46" borderId="30">
      <alignment vertical="center" wrapText="1"/>
    </xf>
    <xf numFmtId="49" fontId="39" fillId="47" borderId="30">
      <alignment vertical="center" wrapText="1"/>
    </xf>
    <xf numFmtId="49" fontId="39" fillId="47" borderId="30">
      <alignment vertical="center" wrapText="1"/>
    </xf>
    <xf numFmtId="49" fontId="39" fillId="47" borderId="30">
      <alignment vertical="center" wrapText="1"/>
    </xf>
    <xf numFmtId="49" fontId="39" fillId="47" borderId="30">
      <alignment vertical="center" wrapText="1"/>
    </xf>
    <xf numFmtId="49" fontId="40" fillId="47" borderId="30">
      <alignment vertical="center" wrapText="1"/>
    </xf>
    <xf numFmtId="49" fontId="40" fillId="47" borderId="30">
      <alignment vertical="center" wrapText="1"/>
    </xf>
    <xf numFmtId="49" fontId="40" fillId="47" borderId="30">
      <alignment vertical="center" wrapText="1"/>
    </xf>
    <xf numFmtId="49" fontId="40" fillId="47" borderId="30">
      <alignment vertical="center" wrapText="1"/>
    </xf>
    <xf numFmtId="49" fontId="35" fillId="48" borderId="30">
      <alignment vertical="center" wrapText="1"/>
    </xf>
    <xf numFmtId="49" fontId="35" fillId="48" borderId="30">
      <alignment vertical="center" wrapText="1"/>
    </xf>
    <xf numFmtId="49" fontId="35" fillId="48" borderId="30">
      <alignment vertical="center" wrapText="1"/>
    </xf>
    <xf numFmtId="49" fontId="35" fillId="48" borderId="30">
      <alignment vertical="center" wrapText="1"/>
    </xf>
    <xf numFmtId="49" fontId="40" fillId="49" borderId="30">
      <alignment vertical="center" wrapText="1"/>
    </xf>
    <xf numFmtId="49" fontId="40" fillId="49" borderId="30">
      <alignment vertical="center" wrapText="1"/>
    </xf>
    <xf numFmtId="49" fontId="40" fillId="49" borderId="30">
      <alignment vertical="center" wrapText="1"/>
    </xf>
    <xf numFmtId="49" fontId="40" fillId="49" borderId="30">
      <alignment vertical="center" wrapText="1"/>
    </xf>
    <xf numFmtId="49" fontId="35" fillId="50" borderId="30">
      <alignment vertical="center" wrapText="1"/>
    </xf>
    <xf numFmtId="49" fontId="35" fillId="50" borderId="30">
      <alignment vertical="center" wrapText="1"/>
    </xf>
    <xf numFmtId="49" fontId="35" fillId="50" borderId="30">
      <alignment vertical="center" wrapText="1"/>
    </xf>
    <xf numFmtId="49" fontId="35" fillId="50" borderId="30">
      <alignment vertical="center" wrapText="1"/>
    </xf>
    <xf numFmtId="49" fontId="41" fillId="51" borderId="36">
      <alignment vertical="center" wrapText="1"/>
    </xf>
    <xf numFmtId="49" fontId="41" fillId="51" borderId="36">
      <alignment vertical="center" wrapText="1"/>
    </xf>
    <xf numFmtId="49" fontId="41" fillId="51" borderId="36">
      <alignment vertical="center" wrapText="1"/>
    </xf>
    <xf numFmtId="49" fontId="41" fillId="51" borderId="36">
      <alignment vertical="center" wrapText="1"/>
    </xf>
    <xf numFmtId="0" fontId="42" fillId="52" borderId="37">
      <alignment horizontal="left" vertical="center" wrapText="1"/>
    </xf>
    <xf numFmtId="0" fontId="42" fillId="52" borderId="37">
      <alignment horizontal="left" vertical="center" wrapText="1"/>
    </xf>
    <xf numFmtId="0" fontId="42" fillId="52" borderId="37">
      <alignment horizontal="left" vertical="center" wrapText="1"/>
    </xf>
    <xf numFmtId="0" fontId="42" fillId="52" borderId="37">
      <alignment horizontal="left" vertical="center" wrapText="1"/>
    </xf>
    <xf numFmtId="49" fontId="35" fillId="53" borderId="16">
      <alignment vertical="center" wrapText="1"/>
    </xf>
    <xf numFmtId="49" fontId="35" fillId="53" borderId="16">
      <alignment vertical="center" wrapText="1"/>
    </xf>
    <xf numFmtId="49" fontId="35" fillId="53" borderId="16">
      <alignment vertical="center" wrapText="1"/>
    </xf>
    <xf numFmtId="49" fontId="35" fillId="53" borderId="16">
      <alignment vertical="center" wrapText="1"/>
    </xf>
    <xf numFmtId="49" fontId="35" fillId="53" borderId="16">
      <alignment vertical="center" wrapText="1"/>
    </xf>
    <xf numFmtId="49" fontId="35" fillId="53" borderId="16">
      <alignment vertical="center" wrapText="1"/>
    </xf>
    <xf numFmtId="49" fontId="35" fillId="54" borderId="16">
      <alignment vertical="center" wrapText="1"/>
    </xf>
    <xf numFmtId="49" fontId="35" fillId="54" borderId="16">
      <alignment vertical="center" wrapText="1"/>
    </xf>
    <xf numFmtId="49" fontId="35" fillId="54" borderId="16">
      <alignment vertical="center" wrapText="1"/>
    </xf>
    <xf numFmtId="49" fontId="35" fillId="54" borderId="16">
      <alignment vertical="center" wrapText="1"/>
    </xf>
    <xf numFmtId="49" fontId="35" fillId="54" borderId="16">
      <alignment vertical="center" wrapText="1"/>
    </xf>
    <xf numFmtId="49" fontId="35" fillId="54" borderId="16">
      <alignment vertical="center" wrapText="1"/>
    </xf>
    <xf numFmtId="49" fontId="35" fillId="55" borderId="16">
      <alignment vertical="center" wrapText="1"/>
    </xf>
    <xf numFmtId="49" fontId="35" fillId="55" borderId="16">
      <alignment vertical="center" wrapText="1"/>
    </xf>
    <xf numFmtId="49" fontId="35" fillId="55" borderId="16">
      <alignment vertical="center" wrapText="1"/>
    </xf>
    <xf numFmtId="49" fontId="35" fillId="55" borderId="16">
      <alignment vertical="center" wrapText="1"/>
    </xf>
    <xf numFmtId="49" fontId="35" fillId="55" borderId="16">
      <alignment vertical="center" wrapText="1"/>
    </xf>
    <xf numFmtId="49" fontId="35" fillId="55" borderId="16">
      <alignment vertical="center" wrapText="1"/>
    </xf>
    <xf numFmtId="49" fontId="35" fillId="56" borderId="16">
      <alignment vertical="center" wrapText="1"/>
    </xf>
    <xf numFmtId="49" fontId="35" fillId="56" borderId="16">
      <alignment vertical="center" wrapText="1"/>
    </xf>
    <xf numFmtId="49" fontId="35" fillId="56" borderId="16">
      <alignment vertical="center" wrapText="1"/>
    </xf>
    <xf numFmtId="49" fontId="35" fillId="56" borderId="16">
      <alignment vertical="center" wrapText="1"/>
    </xf>
    <xf numFmtId="49" fontId="35" fillId="56" borderId="16">
      <alignment vertical="center" wrapText="1"/>
    </xf>
    <xf numFmtId="49" fontId="35" fillId="56" borderId="16">
      <alignment vertical="center" wrapText="1"/>
    </xf>
    <xf numFmtId="49" fontId="35" fillId="57" borderId="16">
      <alignment vertical="center" wrapText="1"/>
    </xf>
    <xf numFmtId="49" fontId="35" fillId="57" borderId="16">
      <alignment vertical="center" wrapText="1"/>
    </xf>
    <xf numFmtId="49" fontId="35" fillId="57" borderId="16">
      <alignment vertical="center" wrapText="1"/>
    </xf>
    <xf numFmtId="49" fontId="35" fillId="57" borderId="16">
      <alignment vertical="center" wrapText="1"/>
    </xf>
    <xf numFmtId="49" fontId="35" fillId="57" borderId="16">
      <alignment vertical="center" wrapText="1"/>
    </xf>
    <xf numFmtId="49" fontId="35" fillId="57" borderId="16">
      <alignment vertical="center" wrapText="1"/>
    </xf>
    <xf numFmtId="49" fontId="7" fillId="27" borderId="38">
      <alignment vertical="top" wrapText="1"/>
    </xf>
    <xf numFmtId="49" fontId="7" fillId="27" borderId="38">
      <alignment vertical="top" wrapText="1"/>
    </xf>
    <xf numFmtId="168" fontId="7" fillId="0" borderId="0" applyFont="0" applyFill="0" applyBorder="0" applyAlignment="0" applyProtection="0"/>
    <xf numFmtId="169" fontId="16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2" fontId="7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7" fillId="17" borderId="39" applyNumberFormat="0" applyFont="0" applyAlignment="0" applyProtection="0"/>
    <xf numFmtId="0" fontId="7" fillId="17" borderId="39" applyNumberFormat="0" applyFont="0" applyAlignment="0" applyProtection="0"/>
    <xf numFmtId="0" fontId="7" fillId="17" borderId="39" applyNumberFormat="0" applyFont="0" applyAlignment="0" applyProtection="0"/>
    <xf numFmtId="0" fontId="7" fillId="17" borderId="39" applyNumberFormat="0" applyFont="0" applyAlignment="0" applyProtection="0"/>
    <xf numFmtId="0" fontId="7" fillId="17" borderId="39" applyNumberFormat="0" applyFont="0" applyAlignment="0" applyProtection="0"/>
    <xf numFmtId="0" fontId="7" fillId="58" borderId="0" applyNumberFormat="0" applyFont="0" applyBorder="0" applyAlignment="0" applyProtection="0"/>
    <xf numFmtId="0" fontId="21" fillId="0" borderId="0" applyNumberFormat="0">
      <alignment horizontal="right"/>
    </xf>
    <xf numFmtId="0" fontId="44" fillId="0" borderId="0">
      <alignment horizontal="left" vertical="center" indent="1"/>
    </xf>
    <xf numFmtId="49" fontId="7" fillId="0" borderId="0">
      <alignment vertical="top" wrapText="1"/>
    </xf>
    <xf numFmtId="0" fontId="7" fillId="38" borderId="0" applyNumberFormat="0" applyFont="0" applyBorder="0" applyAlignment="0"/>
    <xf numFmtId="173" fontId="7" fillId="0" borderId="0" applyFont="0" applyFill="0" applyBorder="0" applyAlignment="0" applyProtection="0"/>
    <xf numFmtId="0" fontId="15" fillId="29" borderId="40">
      <alignment horizontal="left" vertical="center" wrapText="1" indent="2"/>
    </xf>
    <xf numFmtId="0" fontId="15" fillId="29" borderId="40">
      <alignment horizontal="left" vertical="center" wrapText="1" indent="2"/>
    </xf>
    <xf numFmtId="0" fontId="15" fillId="29" borderId="40">
      <alignment horizontal="left" vertical="center" wrapText="1" indent="2"/>
    </xf>
    <xf numFmtId="0" fontId="15" fillId="29" borderId="40">
      <alignment horizontal="left" vertical="center" wrapText="1" indent="2"/>
    </xf>
    <xf numFmtId="0" fontId="15" fillId="29" borderId="40">
      <alignment horizontal="left" vertical="center" wrapText="1" indent="2"/>
    </xf>
    <xf numFmtId="0" fontId="15" fillId="29" borderId="40">
      <alignment horizontal="left" vertical="center" wrapText="1" indent="2"/>
    </xf>
    <xf numFmtId="0" fontId="15" fillId="29" borderId="40">
      <alignment horizontal="left" vertical="center" wrapText="1" indent="2"/>
    </xf>
    <xf numFmtId="0" fontId="15" fillId="29" borderId="40">
      <alignment horizontal="left" vertical="center" wrapText="1" indent="2"/>
    </xf>
    <xf numFmtId="0" fontId="15" fillId="29" borderId="40">
      <alignment horizontal="left" vertical="center" wrapText="1" indent="2"/>
    </xf>
    <xf numFmtId="0" fontId="15" fillId="29" borderId="40">
      <alignment horizontal="left" vertical="center" wrapText="1" indent="2"/>
    </xf>
    <xf numFmtId="0" fontId="15" fillId="29" borderId="40">
      <alignment horizontal="left" vertical="center" wrapText="1" indent="2"/>
    </xf>
    <xf numFmtId="0" fontId="15" fillId="29" borderId="40">
      <alignment horizontal="left" vertical="center" wrapText="1" indent="2"/>
    </xf>
    <xf numFmtId="0" fontId="15" fillId="29" borderId="40">
      <alignment horizontal="left" vertical="center" wrapText="1" indent="2"/>
    </xf>
    <xf numFmtId="0" fontId="15" fillId="29" borderId="40">
      <alignment horizontal="left" vertical="center" wrapText="1" indent="2"/>
    </xf>
    <xf numFmtId="0" fontId="15" fillId="29" borderId="40">
      <alignment horizontal="left" vertical="center" wrapText="1" indent="2"/>
    </xf>
    <xf numFmtId="0" fontId="15" fillId="29" borderId="40">
      <alignment horizontal="left" vertical="center" wrapText="1" indent="2"/>
    </xf>
    <xf numFmtId="0" fontId="15" fillId="29" borderId="40">
      <alignment horizontal="left" vertical="center" wrapText="1" indent="2"/>
    </xf>
    <xf numFmtId="0" fontId="15" fillId="29" borderId="40">
      <alignment horizontal="left" vertical="center" wrapText="1" indent="2"/>
    </xf>
    <xf numFmtId="0" fontId="15" fillId="29" borderId="40">
      <alignment horizontal="left" vertical="center" wrapText="1" indent="2"/>
    </xf>
    <xf numFmtId="0" fontId="15" fillId="29" borderId="40">
      <alignment horizontal="left" vertical="center" wrapText="1" indent="2"/>
    </xf>
    <xf numFmtId="0" fontId="15" fillId="29" borderId="40">
      <alignment horizontal="left" vertical="center" wrapText="1" indent="2"/>
    </xf>
    <xf numFmtId="0" fontId="15" fillId="29" borderId="40">
      <alignment horizontal="left" vertical="center" wrapText="1" indent="2"/>
    </xf>
    <xf numFmtId="0" fontId="15" fillId="29" borderId="40">
      <alignment horizontal="left" vertical="center" wrapText="1" indent="2"/>
    </xf>
    <xf numFmtId="0" fontId="15" fillId="29" borderId="40">
      <alignment horizontal="left" vertical="center" wrapText="1" indent="2"/>
    </xf>
    <xf numFmtId="0" fontId="15" fillId="29" borderId="40">
      <alignment horizontal="left" vertical="center" wrapText="1" indent="2"/>
    </xf>
    <xf numFmtId="0" fontId="15" fillId="29" borderId="40">
      <alignment horizontal="left" vertical="center" wrapText="1" indent="2"/>
    </xf>
    <xf numFmtId="0" fontId="15" fillId="29" borderId="40">
      <alignment horizontal="left" vertical="center" wrapText="1" indent="2"/>
    </xf>
    <xf numFmtId="0" fontId="15" fillId="29" borderId="40">
      <alignment horizontal="left" vertical="center" wrapText="1" indent="2"/>
    </xf>
    <xf numFmtId="0" fontId="15" fillId="29" borderId="40">
      <alignment horizontal="left" vertical="center" wrapText="1" indent="2"/>
    </xf>
    <xf numFmtId="0" fontId="15" fillId="29" borderId="40">
      <alignment horizontal="left" vertical="center" wrapText="1" indent="2"/>
    </xf>
    <xf numFmtId="0" fontId="15" fillId="29" borderId="40">
      <alignment horizontal="left" vertical="center" wrapText="1" indent="2"/>
    </xf>
    <xf numFmtId="0" fontId="15" fillId="29" borderId="40">
      <alignment horizontal="left" vertical="center" wrapText="1" indent="2"/>
    </xf>
    <xf numFmtId="0" fontId="15" fillId="29" borderId="40">
      <alignment horizontal="left" vertical="center" wrapText="1" indent="2"/>
    </xf>
    <xf numFmtId="0" fontId="15" fillId="29" borderId="40">
      <alignment horizontal="left" vertical="center" wrapText="1" indent="2"/>
    </xf>
    <xf numFmtId="0" fontId="15" fillId="29" borderId="40">
      <alignment horizontal="left" vertical="center" wrapText="1" indent="2"/>
    </xf>
    <xf numFmtId="0" fontId="15" fillId="29" borderId="40">
      <alignment horizontal="left" vertical="center" wrapText="1" indent="2"/>
    </xf>
    <xf numFmtId="0" fontId="15" fillId="29" borderId="40">
      <alignment horizontal="left" vertical="center" wrapText="1" indent="2"/>
    </xf>
    <xf numFmtId="0" fontId="15" fillId="29" borderId="40">
      <alignment horizontal="left" vertical="center" wrapText="1" indent="2"/>
    </xf>
    <xf numFmtId="0" fontId="15" fillId="29" borderId="40">
      <alignment horizontal="left" vertical="center" wrapText="1" indent="2"/>
    </xf>
    <xf numFmtId="0" fontId="15" fillId="29" borderId="40">
      <alignment horizontal="left" vertical="center" wrapText="1" indent="2"/>
    </xf>
    <xf numFmtId="0" fontId="15" fillId="29" borderId="40">
      <alignment horizontal="left" vertical="center" wrapText="1" indent="2"/>
    </xf>
    <xf numFmtId="0" fontId="15" fillId="29" borderId="40">
      <alignment horizontal="left" vertical="center" wrapText="1" indent="2"/>
    </xf>
    <xf numFmtId="0" fontId="15" fillId="29" borderId="40">
      <alignment horizontal="left" vertical="center" wrapText="1" indent="2"/>
    </xf>
    <xf numFmtId="0" fontId="15" fillId="29" borderId="40">
      <alignment horizontal="left" vertical="center" wrapText="1" indent="2"/>
    </xf>
    <xf numFmtId="0" fontId="15" fillId="29" borderId="40">
      <alignment horizontal="left" vertical="center" wrapText="1" indent="2"/>
    </xf>
    <xf numFmtId="0" fontId="15" fillId="29" borderId="40">
      <alignment horizontal="left" vertical="center" wrapText="1" indent="2"/>
    </xf>
    <xf numFmtId="0" fontId="15" fillId="29" borderId="40">
      <alignment horizontal="left" vertical="center" wrapText="1" indent="2"/>
    </xf>
    <xf numFmtId="0" fontId="15" fillId="29" borderId="40">
      <alignment horizontal="left" vertical="center" wrapText="1" indent="2"/>
    </xf>
    <xf numFmtId="0" fontId="15" fillId="29" borderId="40">
      <alignment horizontal="left" vertical="center" wrapText="1" indent="2"/>
    </xf>
    <xf numFmtId="0" fontId="15" fillId="29" borderId="40">
      <alignment horizontal="left" vertical="center" wrapText="1" indent="2"/>
    </xf>
    <xf numFmtId="0" fontId="15" fillId="29" borderId="40">
      <alignment horizontal="left" vertical="center" wrapText="1" indent="2"/>
    </xf>
    <xf numFmtId="0" fontId="15" fillId="29" borderId="40">
      <alignment horizontal="left" vertical="center" wrapText="1" indent="2"/>
    </xf>
    <xf numFmtId="0" fontId="15" fillId="29" borderId="40">
      <alignment horizontal="left" vertical="center" wrapText="1" indent="2"/>
    </xf>
    <xf numFmtId="0" fontId="15" fillId="29" borderId="40">
      <alignment horizontal="left" vertical="center" wrapText="1" indent="2"/>
    </xf>
    <xf numFmtId="0" fontId="15" fillId="29" borderId="40">
      <alignment horizontal="left" vertical="center" wrapText="1" indent="2"/>
    </xf>
    <xf numFmtId="0" fontId="15" fillId="29" borderId="40">
      <alignment horizontal="left" vertical="center" wrapText="1" indent="2"/>
    </xf>
    <xf numFmtId="0" fontId="15" fillId="29" borderId="40">
      <alignment horizontal="left" vertical="center" wrapText="1" indent="2"/>
    </xf>
    <xf numFmtId="0" fontId="15" fillId="29" borderId="40">
      <alignment horizontal="left" vertical="center" wrapText="1" indent="2"/>
    </xf>
    <xf numFmtId="0" fontId="15" fillId="29" borderId="40">
      <alignment horizontal="left" vertical="center" wrapText="1" indent="2"/>
    </xf>
    <xf numFmtId="0" fontId="15" fillId="29" borderId="40">
      <alignment horizontal="left" vertical="center" wrapText="1" indent="2"/>
    </xf>
    <xf numFmtId="0" fontId="15" fillId="0" borderId="40">
      <alignment horizontal="left" vertical="center" wrapText="1" indent="2"/>
    </xf>
    <xf numFmtId="0" fontId="15" fillId="0" borderId="40">
      <alignment horizontal="left" vertical="center" wrapText="1" indent="2"/>
    </xf>
    <xf numFmtId="0" fontId="15" fillId="0" borderId="40">
      <alignment horizontal="left" vertical="center" wrapText="1" indent="2"/>
    </xf>
    <xf numFmtId="0" fontId="15" fillId="0" borderId="40">
      <alignment horizontal="left" vertical="center" wrapText="1" indent="2"/>
    </xf>
    <xf numFmtId="0" fontId="15" fillId="0" borderId="40">
      <alignment horizontal="left" vertical="center" wrapText="1" indent="2"/>
    </xf>
    <xf numFmtId="0" fontId="15" fillId="0" borderId="40">
      <alignment horizontal="left" vertical="center" wrapText="1" indent="2"/>
    </xf>
    <xf numFmtId="0" fontId="15" fillId="0" borderId="40">
      <alignment horizontal="left" vertical="center" wrapText="1" indent="2"/>
    </xf>
    <xf numFmtId="0" fontId="15" fillId="0" borderId="40">
      <alignment horizontal="left" vertical="center" wrapText="1" indent="2"/>
    </xf>
    <xf numFmtId="0" fontId="15" fillId="0" borderId="40">
      <alignment horizontal="left" vertical="center" wrapText="1" indent="2"/>
    </xf>
    <xf numFmtId="0" fontId="15" fillId="0" borderId="40">
      <alignment horizontal="left" vertical="center" wrapText="1" indent="2"/>
    </xf>
    <xf numFmtId="0" fontId="15" fillId="0" borderId="40">
      <alignment horizontal="left" vertical="center" wrapText="1" indent="2"/>
    </xf>
    <xf numFmtId="0" fontId="15" fillId="0" borderId="40">
      <alignment horizontal="left" vertical="center" wrapText="1" indent="2"/>
    </xf>
    <xf numFmtId="0" fontId="15" fillId="0" borderId="40">
      <alignment horizontal="left" vertical="center" wrapText="1" indent="2"/>
    </xf>
    <xf numFmtId="0" fontId="15" fillId="0" borderId="40">
      <alignment horizontal="left" vertical="center" wrapText="1" indent="2"/>
    </xf>
    <xf numFmtId="0" fontId="15" fillId="0" borderId="40">
      <alignment horizontal="left" vertical="center" wrapText="1" indent="2"/>
    </xf>
    <xf numFmtId="0" fontId="15" fillId="0" borderId="40">
      <alignment horizontal="left" vertical="center" wrapText="1" indent="2"/>
    </xf>
    <xf numFmtId="0" fontId="15" fillId="0" borderId="40">
      <alignment horizontal="left" vertical="center" wrapText="1" indent="2"/>
    </xf>
    <xf numFmtId="0" fontId="15" fillId="0" borderId="40">
      <alignment horizontal="left" vertical="center" wrapText="1" indent="2"/>
    </xf>
    <xf numFmtId="0" fontId="15" fillId="0" borderId="40">
      <alignment horizontal="left" vertical="center" wrapText="1" indent="2"/>
    </xf>
    <xf numFmtId="0" fontId="15" fillId="0" borderId="40">
      <alignment horizontal="left" vertical="center" wrapText="1" indent="2"/>
    </xf>
    <xf numFmtId="0" fontId="15" fillId="0" borderId="40">
      <alignment horizontal="left" vertical="center" wrapText="1" indent="2"/>
    </xf>
    <xf numFmtId="0" fontId="15" fillId="0" borderId="40">
      <alignment horizontal="left" vertical="center" wrapText="1" indent="2"/>
    </xf>
    <xf numFmtId="0" fontId="15" fillId="0" borderId="40">
      <alignment horizontal="left" vertical="center" wrapText="1" indent="2"/>
    </xf>
    <xf numFmtId="0" fontId="15" fillId="0" borderId="40">
      <alignment horizontal="left" vertical="center" wrapText="1" indent="2"/>
    </xf>
    <xf numFmtId="0" fontId="15" fillId="0" borderId="40">
      <alignment horizontal="left" vertical="center" wrapText="1" indent="2"/>
    </xf>
    <xf numFmtId="0" fontId="15" fillId="0" borderId="40">
      <alignment horizontal="left" vertical="center" wrapText="1" indent="2"/>
    </xf>
    <xf numFmtId="0" fontId="15" fillId="0" borderId="40">
      <alignment horizontal="left" vertical="center" wrapText="1" indent="2"/>
    </xf>
    <xf numFmtId="0" fontId="15" fillId="0" borderId="40">
      <alignment horizontal="left" vertical="center" wrapText="1" indent="2"/>
    </xf>
    <xf numFmtId="0" fontId="15" fillId="0" borderId="40">
      <alignment horizontal="left" vertical="center" wrapText="1" indent="2"/>
    </xf>
    <xf numFmtId="0" fontId="15" fillId="0" borderId="40">
      <alignment horizontal="left" vertical="center" wrapText="1" indent="2"/>
    </xf>
    <xf numFmtId="0" fontId="15" fillId="0" borderId="40">
      <alignment horizontal="left" vertical="center" wrapText="1" indent="2"/>
    </xf>
    <xf numFmtId="0" fontId="15" fillId="0" borderId="40">
      <alignment horizontal="left" vertical="center" wrapText="1" indent="2"/>
    </xf>
    <xf numFmtId="0" fontId="15" fillId="0" borderId="40">
      <alignment horizontal="left" vertical="center" wrapText="1" indent="2"/>
    </xf>
    <xf numFmtId="0" fontId="15" fillId="0" borderId="40">
      <alignment horizontal="left" vertical="center" wrapText="1" indent="2"/>
    </xf>
    <xf numFmtId="0" fontId="15" fillId="0" borderId="40">
      <alignment horizontal="left" vertical="center" wrapText="1" indent="2"/>
    </xf>
    <xf numFmtId="0" fontId="15" fillId="0" borderId="40">
      <alignment horizontal="left" vertical="center" wrapText="1" indent="2"/>
    </xf>
    <xf numFmtId="0" fontId="15" fillId="0" borderId="40">
      <alignment horizontal="left" vertical="center" wrapText="1" indent="2"/>
    </xf>
    <xf numFmtId="0" fontId="15" fillId="0" borderId="40">
      <alignment horizontal="left" vertical="center" wrapText="1" indent="2"/>
    </xf>
    <xf numFmtId="0" fontId="15" fillId="0" borderId="40">
      <alignment horizontal="left" vertical="center" wrapText="1" indent="2"/>
    </xf>
    <xf numFmtId="0" fontId="15" fillId="0" borderId="40">
      <alignment horizontal="left" vertical="center" wrapText="1" indent="2"/>
    </xf>
    <xf numFmtId="0" fontId="15" fillId="0" borderId="40">
      <alignment horizontal="left" vertical="center" wrapText="1" indent="2"/>
    </xf>
    <xf numFmtId="0" fontId="15" fillId="0" borderId="40">
      <alignment horizontal="left" vertical="center" wrapText="1" indent="2"/>
    </xf>
    <xf numFmtId="0" fontId="15" fillId="0" borderId="40">
      <alignment horizontal="left" vertical="center" wrapText="1" indent="2"/>
    </xf>
    <xf numFmtId="0" fontId="15" fillId="0" borderId="40">
      <alignment horizontal="left" vertical="center" wrapText="1" indent="2"/>
    </xf>
    <xf numFmtId="0" fontId="15" fillId="0" borderId="40">
      <alignment horizontal="left" vertical="center" wrapText="1" indent="2"/>
    </xf>
    <xf numFmtId="0" fontId="15" fillId="0" borderId="40">
      <alignment horizontal="left" vertical="center" wrapText="1" indent="2"/>
    </xf>
    <xf numFmtId="0" fontId="15" fillId="0" borderId="40">
      <alignment horizontal="left" vertical="center" wrapText="1" indent="2"/>
    </xf>
    <xf numFmtId="0" fontId="15" fillId="0" borderId="40">
      <alignment horizontal="left" vertical="center" wrapText="1" indent="2"/>
    </xf>
    <xf numFmtId="0" fontId="15" fillId="0" borderId="40">
      <alignment horizontal="left" vertical="center" wrapText="1" indent="2"/>
    </xf>
    <xf numFmtId="0" fontId="15" fillId="0" borderId="40">
      <alignment horizontal="left" vertical="center" wrapText="1" indent="2"/>
    </xf>
    <xf numFmtId="0" fontId="15" fillId="0" borderId="40">
      <alignment horizontal="left" vertical="center" wrapText="1" indent="2"/>
    </xf>
    <xf numFmtId="0" fontId="15" fillId="0" borderId="40">
      <alignment horizontal="left" vertical="center" wrapText="1" indent="2"/>
    </xf>
    <xf numFmtId="0" fontId="15" fillId="0" borderId="40">
      <alignment horizontal="left" vertical="center" wrapText="1" indent="2"/>
    </xf>
    <xf numFmtId="0" fontId="15" fillId="0" borderId="40">
      <alignment horizontal="left" vertical="center" wrapText="1" indent="2"/>
    </xf>
    <xf numFmtId="0" fontId="15" fillId="0" borderId="40">
      <alignment horizontal="left" vertical="center" wrapText="1" indent="2"/>
    </xf>
    <xf numFmtId="0" fontId="15" fillId="0" borderId="40">
      <alignment horizontal="left" vertical="center" wrapText="1" indent="2"/>
    </xf>
    <xf numFmtId="0" fontId="15" fillId="0" borderId="40">
      <alignment horizontal="left" vertical="center" wrapText="1" indent="2"/>
    </xf>
    <xf numFmtId="0" fontId="15" fillId="0" borderId="40">
      <alignment horizontal="left" vertical="center" wrapText="1" indent="2"/>
    </xf>
    <xf numFmtId="0" fontId="15" fillId="0" borderId="40">
      <alignment horizontal="left" vertical="center" wrapText="1" indent="2"/>
    </xf>
    <xf numFmtId="0" fontId="15" fillId="0" borderId="40">
      <alignment horizontal="left" vertical="center" wrapText="1" indent="2"/>
    </xf>
    <xf numFmtId="0" fontId="15" fillId="28" borderId="17">
      <alignment horizontal="left" vertical="center"/>
    </xf>
    <xf numFmtId="0" fontId="15" fillId="28" borderId="17">
      <alignment horizontal="left" vertical="center"/>
    </xf>
    <xf numFmtId="0" fontId="15" fillId="28" borderId="17">
      <alignment horizontal="left" vertical="center"/>
    </xf>
    <xf numFmtId="0" fontId="15" fillId="28" borderId="17">
      <alignment horizontal="left" vertical="center"/>
    </xf>
    <xf numFmtId="0" fontId="15" fillId="28" borderId="17">
      <alignment horizontal="left" vertical="center"/>
    </xf>
    <xf numFmtId="0" fontId="15" fillId="28" borderId="17">
      <alignment horizontal="left" vertical="center"/>
    </xf>
    <xf numFmtId="0" fontId="15" fillId="28" borderId="17">
      <alignment horizontal="left" vertical="center"/>
    </xf>
    <xf numFmtId="0" fontId="15" fillId="28" borderId="17">
      <alignment horizontal="left" vertical="center"/>
    </xf>
    <xf numFmtId="0" fontId="15" fillId="28" borderId="17">
      <alignment horizontal="left" vertical="center"/>
    </xf>
    <xf numFmtId="0" fontId="15" fillId="28" borderId="17">
      <alignment horizontal="left" vertical="center"/>
    </xf>
    <xf numFmtId="0" fontId="15" fillId="28" borderId="17">
      <alignment horizontal="left" vertical="center"/>
    </xf>
    <xf numFmtId="0" fontId="15" fillId="28" borderId="17">
      <alignment horizontal="left" vertical="center"/>
    </xf>
    <xf numFmtId="0" fontId="15" fillId="28" borderId="17">
      <alignment horizontal="left" vertical="center"/>
    </xf>
    <xf numFmtId="0" fontId="15" fillId="28" borderId="17">
      <alignment horizontal="left" vertical="center"/>
    </xf>
    <xf numFmtId="0" fontId="15" fillId="28" borderId="17">
      <alignment horizontal="left" vertical="center"/>
    </xf>
    <xf numFmtId="0" fontId="15" fillId="28" borderId="17">
      <alignment horizontal="left" vertical="center"/>
    </xf>
    <xf numFmtId="0" fontId="15" fillId="28" borderId="17">
      <alignment horizontal="left" vertical="center"/>
    </xf>
    <xf numFmtId="0" fontId="15" fillId="28" borderId="17">
      <alignment horizontal="left" vertical="center"/>
    </xf>
    <xf numFmtId="0" fontId="15" fillId="28" borderId="17">
      <alignment horizontal="left" vertical="center"/>
    </xf>
    <xf numFmtId="0" fontId="15" fillId="28" borderId="17">
      <alignment horizontal="left" vertical="center"/>
    </xf>
    <xf numFmtId="0" fontId="15" fillId="28" borderId="17">
      <alignment horizontal="left" vertical="center"/>
    </xf>
    <xf numFmtId="0" fontId="15" fillId="28" borderId="17">
      <alignment horizontal="left" vertical="center"/>
    </xf>
    <xf numFmtId="0" fontId="15" fillId="28" borderId="17">
      <alignment horizontal="left" vertical="center"/>
    </xf>
    <xf numFmtId="0" fontId="15" fillId="28" borderId="17">
      <alignment horizontal="left" vertical="center"/>
    </xf>
    <xf numFmtId="0" fontId="26" fillId="12" borderId="0" applyNumberFormat="0" applyBorder="0" applyAlignment="0" applyProtection="0"/>
    <xf numFmtId="0" fontId="45" fillId="0" borderId="0" applyFont="0" applyFill="0" applyBorder="0" applyAlignment="0" applyProtection="0"/>
    <xf numFmtId="0" fontId="21" fillId="0" borderId="41">
      <alignment horizontal="left" vertical="top" wrapText="1"/>
    </xf>
    <xf numFmtId="3" fontId="46" fillId="0" borderId="38">
      <alignment horizontal="right" vertical="top"/>
    </xf>
    <xf numFmtId="164" fontId="46" fillId="0" borderId="42"/>
    <xf numFmtId="164" fontId="46" fillId="0" borderId="42"/>
    <xf numFmtId="4" fontId="46" fillId="0" borderId="42"/>
    <xf numFmtId="4" fontId="46" fillId="0" borderId="42"/>
    <xf numFmtId="174" fontId="46" fillId="0" borderId="42"/>
    <xf numFmtId="174" fontId="46" fillId="0" borderId="42"/>
    <xf numFmtId="175" fontId="46" fillId="0" borderId="42"/>
    <xf numFmtId="175" fontId="46" fillId="0" borderId="42"/>
    <xf numFmtId="164" fontId="47" fillId="0" borderId="42"/>
    <xf numFmtId="164" fontId="47" fillId="0" borderId="42"/>
    <xf numFmtId="4" fontId="47" fillId="0" borderId="42"/>
    <xf numFmtId="4" fontId="47" fillId="0" borderId="42"/>
    <xf numFmtId="174" fontId="47" fillId="0" borderId="42"/>
    <xf numFmtId="174" fontId="47" fillId="0" borderId="42"/>
    <xf numFmtId="175" fontId="47" fillId="0" borderId="42"/>
    <xf numFmtId="175" fontId="47" fillId="0" borderId="42"/>
    <xf numFmtId="0" fontId="48" fillId="10" borderId="24" applyNumberFormat="0" applyAlignment="0" applyProtection="0"/>
    <xf numFmtId="0" fontId="2" fillId="2" borderId="1" applyNumberFormat="0" applyAlignment="0" applyProtection="0"/>
    <xf numFmtId="0" fontId="48" fillId="10" borderId="24" applyNumberFormat="0" applyAlignment="0" applyProtection="0"/>
    <xf numFmtId="0" fontId="48" fillId="10" borderId="24" applyNumberFormat="0" applyAlignment="0" applyProtection="0"/>
    <xf numFmtId="0" fontId="48" fillId="10" borderId="24" applyNumberFormat="0" applyAlignment="0" applyProtection="0"/>
    <xf numFmtId="0" fontId="48" fillId="10" borderId="24" applyNumberFormat="0" applyAlignment="0" applyProtection="0"/>
    <xf numFmtId="0" fontId="48" fillId="10" borderId="24" applyNumberFormat="0" applyAlignment="0" applyProtection="0"/>
    <xf numFmtId="0" fontId="48" fillId="10" borderId="24" applyNumberFormat="0" applyAlignment="0" applyProtection="0"/>
    <xf numFmtId="0" fontId="48" fillId="10" borderId="24" applyNumberFormat="0" applyAlignment="0" applyProtection="0"/>
    <xf numFmtId="0" fontId="48" fillId="10" borderId="24" applyNumberFormat="0" applyAlignment="0" applyProtection="0"/>
    <xf numFmtId="0" fontId="49" fillId="10" borderId="24" applyNumberFormat="0" applyAlignment="0" applyProtection="0"/>
    <xf numFmtId="0" fontId="49" fillId="10" borderId="24" applyNumberFormat="0" applyAlignment="0" applyProtection="0"/>
    <xf numFmtId="0" fontId="49" fillId="10" borderId="24" applyNumberFormat="0" applyAlignment="0" applyProtection="0"/>
    <xf numFmtId="0" fontId="49" fillId="10" borderId="24" applyNumberFormat="0" applyAlignment="0" applyProtection="0"/>
    <xf numFmtId="0" fontId="49" fillId="10" borderId="24" applyNumberFormat="0" applyAlignment="0" applyProtection="0"/>
    <xf numFmtId="0" fontId="49" fillId="10" borderId="24" applyNumberFormat="0" applyAlignment="0" applyProtection="0"/>
    <xf numFmtId="0" fontId="49" fillId="10" borderId="24" applyNumberFormat="0" applyAlignment="0" applyProtection="0"/>
    <xf numFmtId="0" fontId="49" fillId="10" borderId="24" applyNumberFormat="0" applyAlignment="0" applyProtection="0"/>
    <xf numFmtId="0" fontId="48" fillId="10" borderId="24" applyNumberFormat="0" applyAlignment="0" applyProtection="0"/>
    <xf numFmtId="0" fontId="48" fillId="10" borderId="24" applyNumberFormat="0" applyAlignment="0" applyProtection="0"/>
    <xf numFmtId="0" fontId="48" fillId="10" borderId="24" applyNumberFormat="0" applyAlignment="0" applyProtection="0"/>
    <xf numFmtId="0" fontId="48" fillId="10" borderId="24" applyNumberFormat="0" applyAlignment="0" applyProtection="0"/>
    <xf numFmtId="0" fontId="48" fillId="10" borderId="24" applyNumberFormat="0" applyAlignment="0" applyProtection="0"/>
    <xf numFmtId="0" fontId="48" fillId="10" borderId="24" applyNumberFormat="0" applyAlignment="0" applyProtection="0"/>
    <xf numFmtId="0" fontId="48" fillId="10" borderId="24" applyNumberFormat="0" applyAlignment="0" applyProtection="0"/>
    <xf numFmtId="0" fontId="7" fillId="0" borderId="43"/>
    <xf numFmtId="0" fontId="5" fillId="59" borderId="16">
      <alignment horizontal="centerContinuous" vertical="top" wrapText="1"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>
      <alignment horizontal="left" vertical="top"/>
    </xf>
    <xf numFmtId="0" fontId="48" fillId="16" borderId="24" applyNumberFormat="0" applyAlignment="0" applyProtection="0"/>
    <xf numFmtId="0" fontId="48" fillId="16" borderId="24" applyNumberFormat="0" applyAlignment="0" applyProtection="0"/>
    <xf numFmtId="0" fontId="53" fillId="0" borderId="44" applyNumberFormat="0" applyFill="0" applyAlignment="0" applyProtection="0"/>
    <xf numFmtId="0" fontId="53" fillId="0" borderId="44" applyNumberFormat="0" applyFill="0" applyAlignment="0" applyProtection="0"/>
    <xf numFmtId="0" fontId="53" fillId="0" borderId="44" applyNumberFormat="0" applyFill="0" applyAlignment="0" applyProtection="0"/>
    <xf numFmtId="0" fontId="53" fillId="0" borderId="44" applyNumberFormat="0" applyFill="0" applyAlignment="0" applyProtection="0"/>
    <xf numFmtId="0" fontId="53" fillId="0" borderId="44" applyNumberFormat="0" applyFill="0" applyAlignment="0" applyProtection="0"/>
    <xf numFmtId="0" fontId="53" fillId="0" borderId="44" applyNumberFormat="0" applyFill="0" applyAlignment="0" applyProtection="0"/>
    <xf numFmtId="0" fontId="53" fillId="0" borderId="44" applyNumberFormat="0" applyFill="0" applyAlignment="0" applyProtection="0"/>
    <xf numFmtId="0" fontId="53" fillId="0" borderId="44" applyNumberFormat="0" applyFill="0" applyAlignment="0" applyProtection="0"/>
    <xf numFmtId="0" fontId="53" fillId="0" borderId="44" applyNumberFormat="0" applyFill="0" applyAlignment="0" applyProtection="0"/>
    <xf numFmtId="0" fontId="54" fillId="0" borderId="44" applyNumberFormat="0" applyFill="0" applyAlignment="0" applyProtection="0"/>
    <xf numFmtId="0" fontId="54" fillId="0" borderId="44" applyNumberFormat="0" applyFill="0" applyAlignment="0" applyProtection="0"/>
    <xf numFmtId="0" fontId="54" fillId="0" borderId="44" applyNumberFormat="0" applyFill="0" applyAlignment="0" applyProtection="0"/>
    <xf numFmtId="0" fontId="54" fillId="0" borderId="44" applyNumberFormat="0" applyFill="0" applyAlignment="0" applyProtection="0"/>
    <xf numFmtId="0" fontId="54" fillId="0" borderId="44" applyNumberFormat="0" applyFill="0" applyAlignment="0" applyProtection="0"/>
    <xf numFmtId="0" fontId="54" fillId="0" borderId="44" applyNumberFormat="0" applyFill="0" applyAlignment="0" applyProtection="0"/>
    <xf numFmtId="0" fontId="54" fillId="0" borderId="44" applyNumberFormat="0" applyFill="0" applyAlignment="0" applyProtection="0"/>
    <xf numFmtId="0" fontId="54" fillId="0" borderId="44" applyNumberFormat="0" applyFill="0" applyAlignment="0" applyProtection="0"/>
    <xf numFmtId="0" fontId="53" fillId="0" borderId="44" applyNumberFormat="0" applyFill="0" applyAlignment="0" applyProtection="0"/>
    <xf numFmtId="0" fontId="53" fillId="0" borderId="44" applyNumberFormat="0" applyFill="0" applyAlignment="0" applyProtection="0"/>
    <xf numFmtId="0" fontId="53" fillId="0" borderId="44" applyNumberFormat="0" applyFill="0" applyAlignment="0" applyProtection="0"/>
    <xf numFmtId="0" fontId="53" fillId="0" borderId="44" applyNumberFormat="0" applyFill="0" applyAlignment="0" applyProtection="0"/>
    <xf numFmtId="0" fontId="53" fillId="0" borderId="44" applyNumberFormat="0" applyFill="0" applyAlignment="0" applyProtection="0"/>
    <xf numFmtId="0" fontId="53" fillId="0" borderId="44" applyNumberFormat="0" applyFill="0" applyAlignment="0" applyProtection="0"/>
    <xf numFmtId="0" fontId="53" fillId="0" borderId="44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18" fillId="25" borderId="0" applyNumberFormat="0" applyBorder="0" applyAlignment="0" applyProtection="0"/>
    <xf numFmtId="0" fontId="18" fillId="8" borderId="0" applyNumberFormat="0" applyBorder="0" applyAlignment="0" applyProtection="0"/>
    <xf numFmtId="0" fontId="18" fillId="26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4" borderId="0" applyNumberFormat="0" applyBorder="0" applyAlignment="0" applyProtection="0"/>
    <xf numFmtId="3" fontId="45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58" fillId="0" borderId="45" applyNumberFormat="0" applyFill="0" applyAlignment="0" applyProtection="0"/>
    <xf numFmtId="0" fontId="59" fillId="0" borderId="45" applyNumberFormat="0" applyFill="0" applyAlignment="0" applyProtection="0"/>
    <xf numFmtId="0" fontId="59" fillId="0" borderId="45" applyNumberFormat="0" applyFill="0" applyAlignment="0" applyProtection="0"/>
    <xf numFmtId="0" fontId="58" fillId="0" borderId="45" applyNumberFormat="0" applyFill="0" applyAlignment="0" applyProtection="0"/>
    <xf numFmtId="0" fontId="60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46" applyNumberFormat="0" applyFill="0" applyAlignment="0" applyProtection="0"/>
    <xf numFmtId="0" fontId="60" fillId="0" borderId="46" applyNumberFormat="0" applyFill="0" applyAlignment="0" applyProtection="0"/>
    <xf numFmtId="0" fontId="62" fillId="0" borderId="47" applyNumberFormat="0" applyFill="0" applyAlignment="0" applyProtection="0"/>
    <xf numFmtId="0" fontId="63" fillId="0" borderId="47" applyNumberFormat="0" applyFill="0" applyAlignment="0" applyProtection="0"/>
    <xf numFmtId="0" fontId="63" fillId="0" borderId="47" applyNumberFormat="0" applyFill="0" applyAlignment="0" applyProtection="0"/>
    <xf numFmtId="0" fontId="62" fillId="0" borderId="4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48" fillId="10" borderId="24" applyNumberFormat="0" applyAlignment="0" applyProtection="0"/>
    <xf numFmtId="0" fontId="48" fillId="10" borderId="24" applyNumberFormat="0" applyAlignment="0" applyProtection="0"/>
    <xf numFmtId="0" fontId="52" fillId="0" borderId="0">
      <alignment horizontal="left" vertical="top"/>
    </xf>
    <xf numFmtId="0" fontId="49" fillId="10" borderId="24" applyNumberFormat="0" applyAlignment="0" applyProtection="0"/>
    <xf numFmtId="0" fontId="49" fillId="10" borderId="24" applyNumberFormat="0" applyAlignment="0" applyProtection="0"/>
    <xf numFmtId="0" fontId="49" fillId="10" borderId="24" applyNumberFormat="0" applyAlignment="0" applyProtection="0"/>
    <xf numFmtId="0" fontId="49" fillId="10" borderId="24" applyNumberFormat="0" applyAlignment="0" applyProtection="0"/>
    <xf numFmtId="0" fontId="49" fillId="10" borderId="24" applyNumberFormat="0" applyAlignment="0" applyProtection="0"/>
    <xf numFmtId="0" fontId="49" fillId="10" borderId="24" applyNumberFormat="0" applyAlignment="0" applyProtection="0"/>
    <xf numFmtId="0" fontId="49" fillId="10" borderId="24" applyNumberFormat="0" applyAlignment="0" applyProtection="0"/>
    <xf numFmtId="0" fontId="49" fillId="10" borderId="24" applyNumberFormat="0" applyAlignment="0" applyProtection="0"/>
    <xf numFmtId="0" fontId="49" fillId="10" borderId="24" applyNumberFormat="0" applyAlignment="0" applyProtection="0"/>
    <xf numFmtId="0" fontId="49" fillId="10" borderId="24" applyNumberFormat="0" applyAlignment="0" applyProtection="0"/>
    <xf numFmtId="0" fontId="49" fillId="10" borderId="24" applyNumberFormat="0" applyAlignment="0" applyProtection="0"/>
    <xf numFmtId="0" fontId="49" fillId="10" borderId="24" applyNumberFormat="0" applyAlignment="0" applyProtection="0"/>
    <xf numFmtId="0" fontId="49" fillId="10" borderId="24" applyNumberFormat="0" applyAlignment="0" applyProtection="0"/>
    <xf numFmtId="0" fontId="49" fillId="10" borderId="24" applyNumberFormat="0" applyAlignment="0" applyProtection="0"/>
    <xf numFmtId="0" fontId="49" fillId="10" borderId="24" applyNumberFormat="0" applyAlignment="0" applyProtection="0"/>
    <xf numFmtId="0" fontId="49" fillId="10" borderId="24" applyNumberFormat="0" applyAlignment="0" applyProtection="0"/>
    <xf numFmtId="0" fontId="2" fillId="2" borderId="1" applyNumberFormat="0" applyAlignment="0" applyProtection="0"/>
    <xf numFmtId="0" fontId="15" fillId="0" borderId="0" applyBorder="0">
      <alignment horizontal="right" vertical="center"/>
    </xf>
    <xf numFmtId="4" fontId="15" fillId="0" borderId="0" applyBorder="0">
      <alignment horizontal="right" vertical="center"/>
    </xf>
    <xf numFmtId="0" fontId="15" fillId="0" borderId="0" applyBorder="0">
      <alignment horizontal="right" vertical="center"/>
    </xf>
    <xf numFmtId="0" fontId="15" fillId="0" borderId="0" applyBorder="0">
      <alignment horizontal="right" vertical="center"/>
    </xf>
    <xf numFmtId="0" fontId="15" fillId="0" borderId="48">
      <alignment horizontal="right" vertical="center"/>
    </xf>
    <xf numFmtId="0" fontId="15" fillId="0" borderId="16">
      <alignment horizontal="right" vertical="center"/>
    </xf>
    <xf numFmtId="4" fontId="15" fillId="0" borderId="16">
      <alignment horizontal="right" vertical="center"/>
    </xf>
    <xf numFmtId="4" fontId="15" fillId="0" borderId="16">
      <alignment horizontal="right" vertical="center"/>
    </xf>
    <xf numFmtId="4" fontId="15" fillId="0" borderId="16">
      <alignment horizontal="right" vertical="center"/>
    </xf>
    <xf numFmtId="4" fontId="15" fillId="0" borderId="16">
      <alignment horizontal="right" vertical="center"/>
    </xf>
    <xf numFmtId="4" fontId="15" fillId="0" borderId="16">
      <alignment horizontal="right" vertical="center"/>
    </xf>
    <xf numFmtId="4" fontId="15" fillId="0" borderId="16">
      <alignment horizontal="right" vertical="center"/>
    </xf>
    <xf numFmtId="4" fontId="15" fillId="0" borderId="16">
      <alignment horizontal="right" vertical="center"/>
    </xf>
    <xf numFmtId="4" fontId="15" fillId="0" borderId="16">
      <alignment horizontal="right" vertical="center"/>
    </xf>
    <xf numFmtId="4" fontId="15" fillId="0" borderId="16">
      <alignment horizontal="right" vertical="center"/>
    </xf>
    <xf numFmtId="4" fontId="15" fillId="0" borderId="16">
      <alignment horizontal="right" vertical="center"/>
    </xf>
    <xf numFmtId="4" fontId="15" fillId="0" borderId="16">
      <alignment horizontal="right" vertical="center"/>
    </xf>
    <xf numFmtId="4" fontId="15" fillId="0" borderId="16">
      <alignment horizontal="right" vertical="center"/>
    </xf>
    <xf numFmtId="4" fontId="15" fillId="0" borderId="16">
      <alignment horizontal="right" vertical="center"/>
    </xf>
    <xf numFmtId="4" fontId="15" fillId="0" borderId="16">
      <alignment horizontal="right" vertical="center"/>
    </xf>
    <xf numFmtId="4" fontId="15" fillId="0" borderId="16">
      <alignment horizontal="right" vertical="center"/>
    </xf>
    <xf numFmtId="4" fontId="15" fillId="0" borderId="16">
      <alignment horizontal="right" vertical="center"/>
    </xf>
    <xf numFmtId="4" fontId="15" fillId="0" borderId="16">
      <alignment horizontal="right" vertical="center"/>
    </xf>
    <xf numFmtId="4" fontId="15" fillId="0" borderId="16">
      <alignment horizontal="right" vertical="center"/>
    </xf>
    <xf numFmtId="4" fontId="15" fillId="0" borderId="16">
      <alignment horizontal="right" vertical="center"/>
    </xf>
    <xf numFmtId="4" fontId="15" fillId="0" borderId="16">
      <alignment horizontal="right" vertical="center"/>
    </xf>
    <xf numFmtId="4" fontId="15" fillId="0" borderId="16">
      <alignment horizontal="right" vertical="center"/>
    </xf>
    <xf numFmtId="4" fontId="15" fillId="0" borderId="16">
      <alignment horizontal="right" vertical="center"/>
    </xf>
    <xf numFmtId="4" fontId="15" fillId="0" borderId="16">
      <alignment horizontal="right" vertical="center"/>
    </xf>
    <xf numFmtId="4" fontId="15" fillId="0" borderId="16">
      <alignment horizontal="right" vertical="center"/>
    </xf>
    <xf numFmtId="4" fontId="15" fillId="0" borderId="16">
      <alignment horizontal="right" vertical="center"/>
    </xf>
    <xf numFmtId="4" fontId="15" fillId="0" borderId="16">
      <alignment horizontal="right" vertical="center"/>
    </xf>
    <xf numFmtId="4" fontId="15" fillId="0" borderId="16">
      <alignment horizontal="right" vertical="center"/>
    </xf>
    <xf numFmtId="4" fontId="15" fillId="0" borderId="16">
      <alignment horizontal="right" vertical="center"/>
    </xf>
    <xf numFmtId="0" fontId="15" fillId="0" borderId="16">
      <alignment horizontal="right" vertical="center"/>
    </xf>
    <xf numFmtId="0" fontId="15" fillId="0" borderId="16">
      <alignment horizontal="right" vertical="center"/>
    </xf>
    <xf numFmtId="0" fontId="15" fillId="0" borderId="16">
      <alignment horizontal="right" vertical="center"/>
    </xf>
    <xf numFmtId="0" fontId="15" fillId="0" borderId="16">
      <alignment horizontal="right" vertical="center"/>
    </xf>
    <xf numFmtId="0" fontId="15" fillId="0" borderId="16">
      <alignment horizontal="right" vertical="center"/>
    </xf>
    <xf numFmtId="0" fontId="15" fillId="0" borderId="16">
      <alignment horizontal="right" vertical="center"/>
    </xf>
    <xf numFmtId="0" fontId="15" fillId="0" borderId="16">
      <alignment horizontal="right" vertical="center"/>
    </xf>
    <xf numFmtId="0" fontId="15" fillId="0" borderId="16">
      <alignment horizontal="right" vertical="center"/>
    </xf>
    <xf numFmtId="0" fontId="15" fillId="0" borderId="16">
      <alignment horizontal="right" vertical="center"/>
    </xf>
    <xf numFmtId="0" fontId="15" fillId="0" borderId="16">
      <alignment horizontal="right" vertical="center"/>
    </xf>
    <xf numFmtId="0" fontId="15" fillId="0" borderId="16">
      <alignment horizontal="right" vertical="center"/>
    </xf>
    <xf numFmtId="0" fontId="15" fillId="0" borderId="16">
      <alignment horizontal="right" vertical="center"/>
    </xf>
    <xf numFmtId="0" fontId="15" fillId="0" borderId="16">
      <alignment horizontal="right" vertical="center"/>
    </xf>
    <xf numFmtId="0" fontId="15" fillId="0" borderId="16">
      <alignment horizontal="right" vertical="center"/>
    </xf>
    <xf numFmtId="0" fontId="15" fillId="0" borderId="16">
      <alignment horizontal="right" vertical="center"/>
    </xf>
    <xf numFmtId="0" fontId="15" fillId="0" borderId="16">
      <alignment horizontal="right" vertical="center"/>
    </xf>
    <xf numFmtId="0" fontId="15" fillId="0" borderId="16">
      <alignment horizontal="right" vertical="center"/>
    </xf>
    <xf numFmtId="0" fontId="15" fillId="0" borderId="16">
      <alignment horizontal="right" vertical="center"/>
    </xf>
    <xf numFmtId="0" fontId="15" fillId="0" borderId="16">
      <alignment horizontal="right" vertical="center"/>
    </xf>
    <xf numFmtId="0" fontId="15" fillId="0" borderId="16">
      <alignment horizontal="right" vertical="center"/>
    </xf>
    <xf numFmtId="0" fontId="15" fillId="0" borderId="16">
      <alignment horizontal="right" vertical="center"/>
    </xf>
    <xf numFmtId="0" fontId="15" fillId="0" borderId="16">
      <alignment horizontal="right" vertical="center"/>
    </xf>
    <xf numFmtId="0" fontId="15" fillId="0" borderId="16">
      <alignment horizontal="right" vertical="center"/>
    </xf>
    <xf numFmtId="0" fontId="15" fillId="0" borderId="16">
      <alignment horizontal="right" vertical="center"/>
    </xf>
    <xf numFmtId="0" fontId="15" fillId="0" borderId="16">
      <alignment horizontal="right" vertical="center"/>
    </xf>
    <xf numFmtId="0" fontId="15" fillId="0" borderId="16">
      <alignment horizontal="right" vertical="center"/>
    </xf>
    <xf numFmtId="0" fontId="15" fillId="0" borderId="16">
      <alignment horizontal="right" vertical="center"/>
    </xf>
    <xf numFmtId="0" fontId="15" fillId="0" borderId="19">
      <alignment horizontal="right" vertical="center"/>
    </xf>
    <xf numFmtId="0" fontId="26" fillId="13" borderId="0" applyNumberFormat="0" applyBorder="0" applyAlignment="0" applyProtection="0"/>
    <xf numFmtId="1" fontId="65" fillId="28" borderId="0" applyBorder="0">
      <alignment horizontal="right" vertical="center"/>
    </xf>
    <xf numFmtId="0" fontId="32" fillId="31" borderId="27" applyNumberFormat="0" applyAlignment="0" applyProtection="0"/>
    <xf numFmtId="0" fontId="7" fillId="60" borderId="16"/>
    <xf numFmtId="0" fontId="66" fillId="0" borderId="49" applyNumberFormat="0" applyFill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177" fontId="69" fillId="61" borderId="0" applyNumberFormat="0" applyBorder="0">
      <alignment horizontal="right"/>
      <protection locked="0"/>
    </xf>
    <xf numFmtId="0" fontId="64" fillId="0" borderId="0"/>
    <xf numFmtId="0" fontId="70" fillId="0" borderId="49" applyNumberFormat="0" applyFill="0" applyAlignment="0" applyProtection="0"/>
    <xf numFmtId="0" fontId="70" fillId="0" borderId="49" applyNumberFormat="0" applyFill="0" applyAlignment="0" applyProtection="0"/>
    <xf numFmtId="0" fontId="66" fillId="0" borderId="49" applyNumberFormat="0" applyFill="0" applyAlignment="0" applyProtection="0"/>
    <xf numFmtId="0" fontId="7" fillId="29" borderId="0" applyNumberFormat="0" applyFont="0" applyBorder="0" applyAlignment="0"/>
    <xf numFmtId="43" fontId="71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45" fillId="0" borderId="0" applyFont="0" applyFill="0" applyBorder="0" applyAlignment="0" applyProtection="0"/>
    <xf numFmtId="0" fontId="72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4" fillId="1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6" fillId="0" borderId="0"/>
    <xf numFmtId="0" fontId="1" fillId="0" borderId="0"/>
    <xf numFmtId="0" fontId="7" fillId="0" borderId="0"/>
    <xf numFmtId="0" fontId="7" fillId="0" borderId="0"/>
    <xf numFmtId="0" fontId="43" fillId="0" borderId="0"/>
    <xf numFmtId="0" fontId="43" fillId="0" borderId="0"/>
    <xf numFmtId="4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5" fillId="0" borderId="0"/>
    <xf numFmtId="0" fontId="7" fillId="0" borderId="0"/>
    <xf numFmtId="0" fontId="7" fillId="0" borderId="0"/>
    <xf numFmtId="4" fontId="7" fillId="0" borderId="0"/>
    <xf numFmtId="4" fontId="76" fillId="0" borderId="0"/>
    <xf numFmtId="4" fontId="7" fillId="0" borderId="0"/>
    <xf numFmtId="0" fontId="7" fillId="0" borderId="0"/>
    <xf numFmtId="4" fontId="7" fillId="0" borderId="0"/>
    <xf numFmtId="0" fontId="7" fillId="0" borderId="0"/>
    <xf numFmtId="0" fontId="7" fillId="0" borderId="0"/>
    <xf numFmtId="0" fontId="7" fillId="0" borderId="0"/>
    <xf numFmtId="0" fontId="77" fillId="0" borderId="0"/>
    <xf numFmtId="0" fontId="7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8" fillId="0" borderId="0"/>
    <xf numFmtId="0" fontId="7" fillId="0" borderId="0"/>
    <xf numFmtId="0" fontId="7" fillId="0" borderId="0"/>
    <xf numFmtId="0" fontId="79" fillId="0" borderId="0"/>
    <xf numFmtId="0" fontId="79" fillId="0" borderId="0"/>
    <xf numFmtId="0" fontId="79" fillId="0" borderId="0"/>
    <xf numFmtId="0" fontId="7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1" fillId="0" borderId="0"/>
    <xf numFmtId="0" fontId="7" fillId="0" borderId="0"/>
    <xf numFmtId="0" fontId="71" fillId="0" borderId="0"/>
    <xf numFmtId="0" fontId="7" fillId="0" borderId="0"/>
    <xf numFmtId="0" fontId="79" fillId="0" borderId="0"/>
    <xf numFmtId="0" fontId="7" fillId="0" borderId="0"/>
    <xf numFmtId="0" fontId="1" fillId="0" borderId="0"/>
    <xf numFmtId="4" fontId="15" fillId="0" borderId="16" applyFill="0" applyBorder="0" applyProtection="0">
      <alignment horizontal="right" vertical="center"/>
    </xf>
    <xf numFmtId="4" fontId="15" fillId="0" borderId="16" applyFill="0" applyBorder="0" applyProtection="0">
      <alignment horizontal="right" vertical="center"/>
    </xf>
    <xf numFmtId="4" fontId="15" fillId="0" borderId="0" applyFill="0" applyBorder="0" applyProtection="0">
      <alignment horizontal="right" vertical="center"/>
    </xf>
    <xf numFmtId="4" fontId="15" fillId="0" borderId="16" applyFill="0" applyBorder="0" applyProtection="0">
      <alignment horizontal="right" vertical="center"/>
    </xf>
    <xf numFmtId="4" fontId="15" fillId="0" borderId="16" applyFill="0" applyBorder="0" applyProtection="0">
      <alignment horizontal="right" vertical="center"/>
    </xf>
    <xf numFmtId="4" fontId="15" fillId="0" borderId="16" applyFill="0" applyBorder="0" applyProtection="0">
      <alignment horizontal="right" vertical="center"/>
    </xf>
    <xf numFmtId="4" fontId="15" fillId="0" borderId="16" applyFill="0" applyBorder="0" applyProtection="0">
      <alignment horizontal="right" vertical="center"/>
    </xf>
    <xf numFmtId="4" fontId="15" fillId="0" borderId="16" applyFill="0" applyBorder="0" applyProtection="0">
      <alignment horizontal="right" vertical="center"/>
    </xf>
    <xf numFmtId="4" fontId="15" fillId="0" borderId="16" applyFill="0" applyBorder="0" applyProtection="0">
      <alignment horizontal="right" vertical="center"/>
    </xf>
    <xf numFmtId="4" fontId="15" fillId="0" borderId="16" applyFill="0" applyBorder="0" applyProtection="0">
      <alignment horizontal="right" vertical="center"/>
    </xf>
    <xf numFmtId="4" fontId="15" fillId="0" borderId="16" applyFill="0" applyBorder="0" applyProtection="0">
      <alignment horizontal="right" vertical="center"/>
    </xf>
    <xf numFmtId="4" fontId="15" fillId="0" borderId="16" applyFill="0" applyBorder="0" applyProtection="0">
      <alignment horizontal="right" vertical="center"/>
    </xf>
    <xf numFmtId="4" fontId="15" fillId="0" borderId="16" applyFill="0" applyBorder="0" applyProtection="0">
      <alignment horizontal="right" vertical="center"/>
    </xf>
    <xf numFmtId="4" fontId="15" fillId="0" borderId="16" applyFill="0" applyBorder="0" applyProtection="0">
      <alignment horizontal="right" vertical="center"/>
    </xf>
    <xf numFmtId="4" fontId="15" fillId="0" borderId="16" applyFill="0" applyBorder="0" applyProtection="0">
      <alignment horizontal="right" vertical="center"/>
    </xf>
    <xf numFmtId="4" fontId="15" fillId="0" borderId="16" applyFill="0" applyBorder="0" applyProtection="0">
      <alignment horizontal="right" vertical="center"/>
    </xf>
    <xf numFmtId="4" fontId="15" fillId="0" borderId="16" applyFill="0" applyBorder="0" applyProtection="0">
      <alignment horizontal="right" vertical="center"/>
    </xf>
    <xf numFmtId="4" fontId="15" fillId="0" borderId="16" applyFill="0" applyBorder="0" applyProtection="0">
      <alignment horizontal="right" vertical="center"/>
    </xf>
    <xf numFmtId="4" fontId="15" fillId="0" borderId="16" applyFill="0" applyBorder="0" applyProtection="0">
      <alignment horizontal="right" vertical="center"/>
    </xf>
    <xf numFmtId="4" fontId="15" fillId="0" borderId="16" applyFill="0" applyBorder="0" applyProtection="0">
      <alignment horizontal="right" vertical="center"/>
    </xf>
    <xf numFmtId="4" fontId="15" fillId="0" borderId="16" applyFill="0" applyBorder="0" applyProtection="0">
      <alignment horizontal="right" vertical="center"/>
    </xf>
    <xf numFmtId="4" fontId="15" fillId="0" borderId="16" applyFill="0" applyBorder="0" applyProtection="0">
      <alignment horizontal="right" vertical="center"/>
    </xf>
    <xf numFmtId="4" fontId="15" fillId="0" borderId="16" applyFill="0" applyBorder="0" applyProtection="0">
      <alignment horizontal="right" vertical="center"/>
    </xf>
    <xf numFmtId="4" fontId="15" fillId="0" borderId="16" applyFill="0" applyBorder="0" applyProtection="0">
      <alignment horizontal="right" vertical="center"/>
    </xf>
    <xf numFmtId="4" fontId="15" fillId="0" borderId="16" applyFill="0" applyBorder="0" applyProtection="0">
      <alignment horizontal="right" vertical="center"/>
    </xf>
    <xf numFmtId="4" fontId="15" fillId="0" borderId="16" applyFill="0" applyBorder="0" applyProtection="0">
      <alignment horizontal="right" vertical="center"/>
    </xf>
    <xf numFmtId="4" fontId="15" fillId="0" borderId="16" applyFill="0" applyBorder="0" applyProtection="0">
      <alignment horizontal="right" vertical="center"/>
    </xf>
    <xf numFmtId="4" fontId="15" fillId="0" borderId="16" applyFill="0" applyBorder="0" applyProtection="0">
      <alignment horizontal="right" vertical="center"/>
    </xf>
    <xf numFmtId="4" fontId="15" fillId="0" borderId="16" applyFill="0" applyBorder="0" applyProtection="0">
      <alignment horizontal="right" vertical="center"/>
    </xf>
    <xf numFmtId="4" fontId="15" fillId="0" borderId="16" applyFill="0" applyBorder="0" applyProtection="0">
      <alignment horizontal="right" vertical="center"/>
    </xf>
    <xf numFmtId="4" fontId="15" fillId="0" borderId="16" applyFill="0" applyBorder="0" applyProtection="0">
      <alignment horizontal="right" vertical="center"/>
    </xf>
    <xf numFmtId="4" fontId="15" fillId="0" borderId="16" applyFill="0" applyBorder="0" applyProtection="0">
      <alignment horizontal="right" vertical="center"/>
    </xf>
    <xf numFmtId="4" fontId="15" fillId="0" borderId="16" applyFill="0" applyBorder="0" applyProtection="0">
      <alignment horizontal="right" vertical="center"/>
    </xf>
    <xf numFmtId="4" fontId="15" fillId="0" borderId="16" applyFill="0" applyBorder="0" applyProtection="0">
      <alignment horizontal="right" vertical="center"/>
    </xf>
    <xf numFmtId="4" fontId="15" fillId="0" borderId="16" applyFill="0" applyBorder="0" applyProtection="0">
      <alignment horizontal="right" vertical="center"/>
    </xf>
    <xf numFmtId="0" fontId="20" fillId="0" borderId="0" applyNumberFormat="0" applyFill="0" applyBorder="0" applyProtection="0">
      <alignment horizontal="left" vertical="center"/>
    </xf>
    <xf numFmtId="0" fontId="20" fillId="0" borderId="0" applyNumberFormat="0" applyFill="0" applyBorder="0" applyProtection="0">
      <alignment horizontal="left" vertical="center"/>
    </xf>
    <xf numFmtId="49" fontId="20" fillId="0" borderId="16" applyNumberFormat="0" applyFill="0" applyBorder="0" applyProtection="0">
      <alignment horizontal="left" vertical="center"/>
    </xf>
    <xf numFmtId="49" fontId="20" fillId="0" borderId="16" applyNumberFormat="0" applyFill="0" applyBorder="0" applyProtection="0">
      <alignment horizontal="left" vertical="center"/>
    </xf>
    <xf numFmtId="49" fontId="20" fillId="0" borderId="16" applyNumberFormat="0" applyFill="0" applyBorder="0" applyProtection="0">
      <alignment horizontal="left" vertical="center"/>
    </xf>
    <xf numFmtId="49" fontId="20" fillId="0" borderId="16" applyNumberFormat="0" applyFill="0" applyBorder="0" applyProtection="0">
      <alignment horizontal="left" vertical="center"/>
    </xf>
    <xf numFmtId="49" fontId="20" fillId="0" borderId="16" applyNumberFormat="0" applyFill="0" applyBorder="0" applyProtection="0">
      <alignment horizontal="left" vertical="center"/>
    </xf>
    <xf numFmtId="49" fontId="20" fillId="0" borderId="16" applyNumberFormat="0" applyFill="0" applyBorder="0" applyProtection="0">
      <alignment horizontal="left" vertical="center"/>
    </xf>
    <xf numFmtId="49" fontId="20" fillId="0" borderId="16" applyNumberFormat="0" applyFill="0" applyBorder="0" applyProtection="0">
      <alignment horizontal="left" vertical="center"/>
    </xf>
    <xf numFmtId="49" fontId="20" fillId="0" borderId="16" applyNumberFormat="0" applyFill="0" applyBorder="0" applyProtection="0">
      <alignment horizontal="left" vertical="center"/>
    </xf>
    <xf numFmtId="49" fontId="20" fillId="0" borderId="16" applyNumberFormat="0" applyFill="0" applyBorder="0" applyProtection="0">
      <alignment horizontal="left" vertical="center"/>
    </xf>
    <xf numFmtId="49" fontId="20" fillId="0" borderId="16" applyNumberFormat="0" applyFill="0" applyBorder="0" applyProtection="0">
      <alignment horizontal="left" vertical="center"/>
    </xf>
    <xf numFmtId="49" fontId="20" fillId="0" borderId="16" applyNumberFormat="0" applyFill="0" applyBorder="0" applyProtection="0">
      <alignment horizontal="left" vertical="center"/>
    </xf>
    <xf numFmtId="49" fontId="20" fillId="0" borderId="16" applyNumberFormat="0" applyFill="0" applyBorder="0" applyProtection="0">
      <alignment horizontal="left" vertical="center"/>
    </xf>
    <xf numFmtId="49" fontId="20" fillId="0" borderId="16" applyNumberFormat="0" applyFill="0" applyBorder="0" applyProtection="0">
      <alignment horizontal="left" vertical="center"/>
    </xf>
    <xf numFmtId="49" fontId="20" fillId="0" borderId="16" applyNumberFormat="0" applyFill="0" applyBorder="0" applyProtection="0">
      <alignment horizontal="left" vertical="center"/>
    </xf>
    <xf numFmtId="49" fontId="20" fillId="0" borderId="16" applyNumberFormat="0" applyFill="0" applyBorder="0" applyProtection="0">
      <alignment horizontal="left" vertical="center"/>
    </xf>
    <xf numFmtId="49" fontId="20" fillId="0" borderId="16" applyNumberFormat="0" applyFill="0" applyBorder="0" applyProtection="0">
      <alignment horizontal="left" vertical="center"/>
    </xf>
    <xf numFmtId="49" fontId="20" fillId="0" borderId="16" applyNumberFormat="0" applyFill="0" applyBorder="0" applyProtection="0">
      <alignment horizontal="left" vertical="center"/>
    </xf>
    <xf numFmtId="49" fontId="20" fillId="0" borderId="16" applyNumberFormat="0" applyFill="0" applyBorder="0" applyProtection="0">
      <alignment horizontal="left" vertical="center"/>
    </xf>
    <xf numFmtId="49" fontId="20" fillId="0" borderId="16" applyNumberFormat="0" applyFill="0" applyBorder="0" applyProtection="0">
      <alignment horizontal="left" vertical="center"/>
    </xf>
    <xf numFmtId="49" fontId="20" fillId="0" borderId="16" applyNumberFormat="0" applyFill="0" applyBorder="0" applyProtection="0">
      <alignment horizontal="left" vertical="center"/>
    </xf>
    <xf numFmtId="49" fontId="20" fillId="0" borderId="16" applyNumberFormat="0" applyFill="0" applyBorder="0" applyProtection="0">
      <alignment horizontal="left" vertical="center"/>
    </xf>
    <xf numFmtId="49" fontId="20" fillId="0" borderId="16" applyNumberFormat="0" applyFill="0" applyBorder="0" applyProtection="0">
      <alignment horizontal="left" vertical="center"/>
    </xf>
    <xf numFmtId="49" fontId="20" fillId="0" borderId="16" applyNumberFormat="0" applyFill="0" applyBorder="0" applyProtection="0">
      <alignment horizontal="left" vertical="center"/>
    </xf>
    <xf numFmtId="49" fontId="20" fillId="0" borderId="16" applyNumberFormat="0" applyFill="0" applyBorder="0" applyProtection="0">
      <alignment horizontal="left" vertical="center"/>
    </xf>
    <xf numFmtId="49" fontId="20" fillId="0" borderId="16" applyNumberFormat="0" applyFill="0" applyBorder="0" applyProtection="0">
      <alignment horizontal="left" vertical="center"/>
    </xf>
    <xf numFmtId="49" fontId="20" fillId="0" borderId="16" applyNumberFormat="0" applyFill="0" applyBorder="0" applyProtection="0">
      <alignment horizontal="left" vertical="center"/>
    </xf>
    <xf numFmtId="49" fontId="20" fillId="0" borderId="16" applyNumberFormat="0" applyFill="0" applyBorder="0" applyProtection="0">
      <alignment horizontal="left" vertical="center"/>
    </xf>
    <xf numFmtId="49" fontId="20" fillId="0" borderId="16" applyNumberFormat="0" applyFill="0" applyBorder="0" applyProtection="0">
      <alignment horizontal="left" vertical="center"/>
    </xf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43" fillId="32" borderId="0" applyNumberFormat="0" applyFont="0" applyBorder="0" applyAlignment="0" applyProtection="0"/>
    <xf numFmtId="0" fontId="7" fillId="62" borderId="0" applyNumberFormat="0" applyFont="0" applyBorder="0" applyAlignment="0" applyProtection="0"/>
    <xf numFmtId="4" fontId="7" fillId="62" borderId="0" applyNumberFormat="0" applyFont="0" applyBorder="0" applyAlignment="0" applyProtection="0"/>
    <xf numFmtId="4" fontId="7" fillId="62" borderId="0" applyNumberFormat="0" applyFont="0" applyBorder="0" applyAlignment="0" applyProtection="0"/>
    <xf numFmtId="0" fontId="7" fillId="62" borderId="0" applyNumberFormat="0" applyFont="0" applyBorder="0" applyAlignment="0" applyProtection="0"/>
    <xf numFmtId="0" fontId="7" fillId="62" borderId="0" applyNumberFormat="0" applyFont="0" applyBorder="0" applyAlignment="0" applyProtection="0"/>
    <xf numFmtId="0" fontId="7" fillId="62" borderId="0" applyNumberFormat="0" applyFont="0" applyBorder="0" applyAlignment="0" applyProtection="0"/>
    <xf numFmtId="0" fontId="7" fillId="62" borderId="0" applyNumberFormat="0" applyFont="0" applyBorder="0" applyAlignment="0" applyProtection="0"/>
    <xf numFmtId="0" fontId="43" fillId="32" borderId="0" applyNumberFormat="0" applyFont="0" applyBorder="0" applyAlignment="0" applyProtection="0"/>
    <xf numFmtId="0" fontId="43" fillId="32" borderId="0" applyNumberFormat="0" applyFont="0" applyBorder="0" applyAlignment="0" applyProtection="0"/>
    <xf numFmtId="0" fontId="81" fillId="0" borderId="0"/>
    <xf numFmtId="0" fontId="82" fillId="0" borderId="0" applyNumberFormat="0" applyFill="0" applyBorder="0" applyAlignment="0" applyProtection="0"/>
    <xf numFmtId="0" fontId="81" fillId="0" borderId="0"/>
    <xf numFmtId="0" fontId="83" fillId="0" borderId="0">
      <alignment vertical="top"/>
    </xf>
    <xf numFmtId="0" fontId="17" fillId="19" borderId="22" applyNumberFormat="0" applyFont="0" applyAlignment="0" applyProtection="0"/>
    <xf numFmtId="0" fontId="17" fillId="19" borderId="22" applyNumberFormat="0" applyFont="0" applyAlignment="0" applyProtection="0"/>
    <xf numFmtId="0" fontId="17" fillId="19" borderId="22" applyNumberFormat="0" applyFont="0" applyAlignment="0" applyProtection="0"/>
    <xf numFmtId="0" fontId="17" fillId="19" borderId="22" applyNumberFormat="0" applyFont="0" applyAlignment="0" applyProtection="0"/>
    <xf numFmtId="0" fontId="17" fillId="19" borderId="22" applyNumberFormat="0" applyFont="0" applyAlignment="0" applyProtection="0"/>
    <xf numFmtId="0" fontId="17" fillId="19" borderId="22" applyNumberFormat="0" applyFont="0" applyAlignment="0" applyProtection="0"/>
    <xf numFmtId="0" fontId="17" fillId="19" borderId="22" applyNumberFormat="0" applyFont="0" applyAlignment="0" applyProtection="0"/>
    <xf numFmtId="0" fontId="17" fillId="19" borderId="22" applyNumberFormat="0" applyFont="0" applyAlignment="0" applyProtection="0"/>
    <xf numFmtId="0" fontId="17" fillId="19" borderId="22" applyNumberFormat="0" applyFont="0" applyAlignment="0" applyProtection="0"/>
    <xf numFmtId="0" fontId="17" fillId="19" borderId="22" applyNumberFormat="0" applyFont="0" applyAlignment="0" applyProtection="0"/>
    <xf numFmtId="0" fontId="17" fillId="19" borderId="22" applyNumberFormat="0" applyFont="0" applyAlignment="0" applyProtection="0"/>
    <xf numFmtId="0" fontId="17" fillId="19" borderId="22" applyNumberFormat="0" applyFont="0" applyAlignment="0" applyProtection="0"/>
    <xf numFmtId="0" fontId="17" fillId="19" borderId="22" applyNumberFormat="0" applyFont="0" applyAlignment="0" applyProtection="0"/>
    <xf numFmtId="0" fontId="17" fillId="19" borderId="22" applyNumberFormat="0" applyFont="0" applyAlignment="0" applyProtection="0"/>
    <xf numFmtId="0" fontId="17" fillId="19" borderId="22" applyNumberFormat="0" applyFont="0" applyAlignment="0" applyProtection="0"/>
    <xf numFmtId="0" fontId="17" fillId="19" borderId="22" applyNumberFormat="0" applyFont="0" applyAlignment="0" applyProtection="0"/>
    <xf numFmtId="0" fontId="84" fillId="0" borderId="0"/>
    <xf numFmtId="0" fontId="7" fillId="19" borderId="22" applyNumberFormat="0" applyFont="0" applyAlignment="0" applyProtection="0"/>
    <xf numFmtId="0" fontId="7" fillId="19" borderId="22" applyNumberFormat="0" applyFont="0" applyAlignment="0" applyProtection="0"/>
    <xf numFmtId="0" fontId="7" fillId="19" borderId="22" applyNumberFormat="0" applyFont="0" applyAlignment="0" applyProtection="0"/>
    <xf numFmtId="0" fontId="7" fillId="19" borderId="22" applyNumberFormat="0" applyFont="0" applyAlignment="0" applyProtection="0"/>
    <xf numFmtId="0" fontId="7" fillId="19" borderId="22" applyNumberFormat="0" applyFont="0" applyAlignment="0" applyProtection="0"/>
    <xf numFmtId="0" fontId="7" fillId="19" borderId="22" applyNumberFormat="0" applyFont="0" applyAlignment="0" applyProtection="0"/>
    <xf numFmtId="0" fontId="7" fillId="19" borderId="22" applyNumberFormat="0" applyFont="0" applyAlignment="0" applyProtection="0"/>
    <xf numFmtId="0" fontId="7" fillId="19" borderId="22" applyNumberFormat="0" applyFont="0" applyAlignment="0" applyProtection="0"/>
    <xf numFmtId="180" fontId="85" fillId="0" borderId="0">
      <alignment horizontal="right"/>
    </xf>
    <xf numFmtId="0" fontId="23" fillId="9" borderId="23" applyNumberFormat="0" applyAlignment="0" applyProtection="0"/>
    <xf numFmtId="0" fontId="24" fillId="9" borderId="23" applyNumberFormat="0" applyAlignment="0" applyProtection="0"/>
    <xf numFmtId="0" fontId="24" fillId="9" borderId="23" applyNumberFormat="0" applyAlignment="0" applyProtection="0"/>
    <xf numFmtId="0" fontId="24" fillId="9" borderId="23" applyNumberFormat="0" applyAlignment="0" applyProtection="0"/>
    <xf numFmtId="0" fontId="24" fillId="9" borderId="23" applyNumberFormat="0" applyAlignment="0" applyProtection="0"/>
    <xf numFmtId="0" fontId="24" fillId="9" borderId="23" applyNumberFormat="0" applyAlignment="0" applyProtection="0"/>
    <xf numFmtId="0" fontId="24" fillId="9" borderId="23" applyNumberFormat="0" applyAlignment="0" applyProtection="0"/>
    <xf numFmtId="0" fontId="24" fillId="9" borderId="23" applyNumberFormat="0" applyAlignment="0" applyProtection="0"/>
    <xf numFmtId="0" fontId="24" fillId="9" borderId="23" applyNumberFormat="0" applyAlignment="0" applyProtection="0"/>
    <xf numFmtId="0" fontId="24" fillId="9" borderId="23" applyNumberFormat="0" applyAlignment="0" applyProtection="0"/>
    <xf numFmtId="0" fontId="24" fillId="9" borderId="23" applyNumberFormat="0" applyAlignment="0" applyProtection="0"/>
    <xf numFmtId="0" fontId="24" fillId="9" borderId="23" applyNumberFormat="0" applyAlignment="0" applyProtection="0"/>
    <xf numFmtId="0" fontId="24" fillId="9" borderId="23" applyNumberFormat="0" applyAlignment="0" applyProtection="0"/>
    <xf numFmtId="0" fontId="24" fillId="9" borderId="23" applyNumberFormat="0" applyAlignment="0" applyProtection="0"/>
    <xf numFmtId="0" fontId="24" fillId="9" borderId="23" applyNumberFormat="0" applyAlignment="0" applyProtection="0"/>
    <xf numFmtId="0" fontId="24" fillId="9" borderId="23" applyNumberFormat="0" applyAlignment="0" applyProtection="0"/>
    <xf numFmtId="0" fontId="24" fillId="9" borderId="23" applyNumberFormat="0" applyAlignment="0" applyProtection="0"/>
    <xf numFmtId="0" fontId="24" fillId="9" borderId="23" applyNumberFormat="0" applyAlignment="0" applyProtection="0"/>
    <xf numFmtId="0" fontId="24" fillId="9" borderId="23" applyNumberFormat="0" applyAlignment="0" applyProtection="0"/>
    <xf numFmtId="0" fontId="24" fillId="9" borderId="23" applyNumberFormat="0" applyAlignment="0" applyProtection="0"/>
    <xf numFmtId="0" fontId="24" fillId="9" borderId="23" applyNumberFormat="0" applyAlignment="0" applyProtection="0"/>
    <xf numFmtId="0" fontId="24" fillId="9" borderId="23" applyNumberFormat="0" applyAlignment="0" applyProtection="0"/>
    <xf numFmtId="0" fontId="24" fillId="9" borderId="23" applyNumberFormat="0" applyAlignment="0" applyProtection="0"/>
    <xf numFmtId="0" fontId="24" fillId="9" borderId="23" applyNumberFormat="0" applyAlignment="0" applyProtection="0"/>
    <xf numFmtId="0" fontId="24" fillId="9" borderId="23" applyNumberFormat="0" applyAlignment="0" applyProtection="0"/>
    <xf numFmtId="0" fontId="23" fillId="9" borderId="23" applyNumberFormat="0" applyAlignment="0" applyProtection="0"/>
    <xf numFmtId="0" fontId="23" fillId="9" borderId="23" applyNumberFormat="0" applyAlignment="0" applyProtection="0"/>
    <xf numFmtId="0" fontId="23" fillId="9" borderId="23" applyNumberFormat="0" applyAlignment="0" applyProtection="0"/>
    <xf numFmtId="175" fontId="15" fillId="63" borderId="16" applyNumberFormat="0" applyFont="0" applyBorder="0" applyAlignment="0" applyProtection="0">
      <alignment horizontal="right" vertical="center"/>
    </xf>
    <xf numFmtId="175" fontId="15" fillId="63" borderId="16" applyNumberFormat="0" applyFont="0" applyBorder="0" applyAlignment="0" applyProtection="0">
      <alignment horizontal="right" vertical="center"/>
    </xf>
    <xf numFmtId="175" fontId="15" fillId="63" borderId="16" applyNumberFormat="0" applyFont="0" applyBorder="0" applyAlignment="0" applyProtection="0">
      <alignment horizontal="right" vertical="center"/>
    </xf>
    <xf numFmtId="175" fontId="15" fillId="63" borderId="16" applyNumberFormat="0" applyFont="0" applyBorder="0" applyAlignment="0" applyProtection="0">
      <alignment horizontal="right" vertical="center"/>
    </xf>
    <xf numFmtId="175" fontId="15" fillId="63" borderId="16" applyNumberFormat="0" applyFont="0" applyBorder="0" applyAlignment="0" applyProtection="0">
      <alignment horizontal="right" vertical="center"/>
    </xf>
    <xf numFmtId="175" fontId="15" fillId="63" borderId="16" applyNumberFormat="0" applyFont="0" applyBorder="0" applyAlignment="0" applyProtection="0">
      <alignment horizontal="right" vertical="center"/>
    </xf>
    <xf numFmtId="175" fontId="15" fillId="63" borderId="16" applyNumberFormat="0" applyFont="0" applyBorder="0" applyAlignment="0" applyProtection="0">
      <alignment horizontal="right" vertical="center"/>
    </xf>
    <xf numFmtId="175" fontId="15" fillId="63" borderId="16" applyNumberFormat="0" applyFont="0" applyBorder="0" applyAlignment="0" applyProtection="0">
      <alignment horizontal="right" vertical="center"/>
    </xf>
    <xf numFmtId="175" fontId="15" fillId="63" borderId="16" applyNumberFormat="0" applyFont="0" applyBorder="0" applyAlignment="0" applyProtection="0">
      <alignment horizontal="right" vertical="center"/>
    </xf>
    <xf numFmtId="175" fontId="15" fillId="63" borderId="16" applyNumberFormat="0" applyFont="0" applyBorder="0" applyAlignment="0" applyProtection="0">
      <alignment horizontal="right" vertical="center"/>
    </xf>
    <xf numFmtId="175" fontId="15" fillId="63" borderId="16" applyNumberFormat="0" applyFont="0" applyBorder="0" applyAlignment="0" applyProtection="0">
      <alignment horizontal="right" vertical="center"/>
    </xf>
    <xf numFmtId="175" fontId="15" fillId="63" borderId="16" applyNumberFormat="0" applyFont="0" applyBorder="0" applyAlignment="0" applyProtection="0">
      <alignment horizontal="right" vertical="center"/>
    </xf>
    <xf numFmtId="175" fontId="15" fillId="63" borderId="16" applyNumberFormat="0" applyFont="0" applyBorder="0" applyAlignment="0" applyProtection="0">
      <alignment horizontal="right" vertical="center"/>
    </xf>
    <xf numFmtId="175" fontId="15" fillId="63" borderId="16" applyNumberFormat="0" applyFont="0" applyBorder="0" applyAlignment="0" applyProtection="0">
      <alignment horizontal="right" vertical="center"/>
    </xf>
    <xf numFmtId="175" fontId="15" fillId="63" borderId="16" applyNumberFormat="0" applyFont="0" applyBorder="0" applyAlignment="0" applyProtection="0">
      <alignment horizontal="right" vertical="center"/>
    </xf>
    <xf numFmtId="175" fontId="15" fillId="63" borderId="16" applyNumberFormat="0" applyFont="0" applyBorder="0" applyAlignment="0" applyProtection="0">
      <alignment horizontal="right" vertical="center"/>
    </xf>
    <xf numFmtId="175" fontId="15" fillId="63" borderId="16" applyNumberFormat="0" applyFont="0" applyBorder="0" applyAlignment="0" applyProtection="0">
      <alignment horizontal="right" vertical="center"/>
    </xf>
    <xf numFmtId="175" fontId="15" fillId="63" borderId="16" applyNumberFormat="0" applyFont="0" applyBorder="0" applyAlignment="0" applyProtection="0">
      <alignment horizontal="right" vertical="center"/>
    </xf>
    <xf numFmtId="175" fontId="15" fillId="63" borderId="16" applyNumberFormat="0" applyFont="0" applyBorder="0" applyAlignment="0" applyProtection="0">
      <alignment horizontal="right" vertical="center"/>
    </xf>
    <xf numFmtId="175" fontId="15" fillId="63" borderId="16" applyNumberFormat="0" applyFont="0" applyBorder="0" applyAlignment="0" applyProtection="0">
      <alignment horizontal="right" vertical="center"/>
    </xf>
    <xf numFmtId="175" fontId="15" fillId="63" borderId="16" applyNumberFormat="0" applyFont="0" applyBorder="0" applyAlignment="0" applyProtection="0">
      <alignment horizontal="right" vertical="center"/>
    </xf>
    <xf numFmtId="175" fontId="15" fillId="63" borderId="16" applyNumberFormat="0" applyFont="0" applyBorder="0" applyAlignment="0" applyProtection="0">
      <alignment horizontal="right" vertical="center"/>
    </xf>
    <xf numFmtId="175" fontId="15" fillId="63" borderId="16" applyNumberFormat="0" applyFont="0" applyBorder="0" applyAlignment="0" applyProtection="0">
      <alignment horizontal="right" vertical="center"/>
    </xf>
    <xf numFmtId="175" fontId="15" fillId="63" borderId="16" applyNumberFormat="0" applyFont="0" applyBorder="0" applyAlignment="0" applyProtection="0">
      <alignment horizontal="right" vertical="center"/>
    </xf>
    <xf numFmtId="175" fontId="15" fillId="63" borderId="16" applyNumberFormat="0" applyFont="0" applyBorder="0" applyAlignment="0" applyProtection="0">
      <alignment horizontal="right" vertical="center"/>
    </xf>
    <xf numFmtId="175" fontId="15" fillId="63" borderId="16" applyNumberFormat="0" applyFont="0" applyBorder="0" applyAlignment="0" applyProtection="0">
      <alignment horizontal="right" vertical="center"/>
    </xf>
    <xf numFmtId="175" fontId="15" fillId="63" borderId="16" applyNumberFormat="0" applyFont="0" applyBorder="0" applyAlignment="0" applyProtection="0">
      <alignment horizontal="right" vertical="center"/>
    </xf>
    <xf numFmtId="175" fontId="15" fillId="63" borderId="16" applyNumberFormat="0" applyFont="0" applyBorder="0" applyAlignment="0" applyProtection="0">
      <alignment horizontal="right" vertical="center"/>
    </xf>
    <xf numFmtId="181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5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58" fillId="0" borderId="45" applyNumberFormat="0" applyFill="0" applyAlignment="0" applyProtection="0"/>
    <xf numFmtId="0" fontId="60" fillId="0" borderId="46" applyNumberFormat="0" applyFill="0" applyAlignment="0" applyProtection="0"/>
    <xf numFmtId="0" fontId="62" fillId="0" borderId="47" applyNumberFormat="0" applyFill="0" applyAlignment="0" applyProtection="0"/>
    <xf numFmtId="0" fontId="62" fillId="0" borderId="0" applyNumberFormat="0" applyFill="0" applyBorder="0" applyAlignment="0" applyProtection="0"/>
    <xf numFmtId="0" fontId="30" fillId="14" borderId="0" applyNumberFormat="0" applyBorder="0" applyAlignment="0" applyProtection="0"/>
    <xf numFmtId="0" fontId="26" fillId="12" borderId="0" applyNumberFormat="0" applyBorder="0" applyAlignment="0" applyProtection="0"/>
    <xf numFmtId="0" fontId="15" fillId="62" borderId="16"/>
    <xf numFmtId="4" fontId="15" fillId="62" borderId="16"/>
    <xf numFmtId="4" fontId="15" fillId="62" borderId="16"/>
    <xf numFmtId="4" fontId="15" fillId="62" borderId="16"/>
    <xf numFmtId="4" fontId="15" fillId="62" borderId="16"/>
    <xf numFmtId="4" fontId="15" fillId="62" borderId="16"/>
    <xf numFmtId="4" fontId="15" fillId="62" borderId="16"/>
    <xf numFmtId="4" fontId="15" fillId="62" borderId="16"/>
    <xf numFmtId="4" fontId="15" fillId="62" borderId="16"/>
    <xf numFmtId="4" fontId="15" fillId="62" borderId="16"/>
    <xf numFmtId="4" fontId="15" fillId="62" borderId="16"/>
    <xf numFmtId="4" fontId="15" fillId="62" borderId="16"/>
    <xf numFmtId="4" fontId="15" fillId="62" borderId="16"/>
    <xf numFmtId="4" fontId="15" fillId="62" borderId="16"/>
    <xf numFmtId="4" fontId="15" fillId="62" borderId="16"/>
    <xf numFmtId="4" fontId="15" fillId="62" borderId="16"/>
    <xf numFmtId="4" fontId="15" fillId="62" borderId="16"/>
    <xf numFmtId="4" fontId="15" fillId="62" borderId="16"/>
    <xf numFmtId="4" fontId="15" fillId="62" borderId="16"/>
    <xf numFmtId="4" fontId="15" fillId="62" borderId="16"/>
    <xf numFmtId="4" fontId="15" fillId="62" borderId="16"/>
    <xf numFmtId="4" fontId="15" fillId="62" borderId="16"/>
    <xf numFmtId="4" fontId="15" fillId="62" borderId="16"/>
    <xf numFmtId="4" fontId="15" fillId="62" borderId="16"/>
    <xf numFmtId="4" fontId="15" fillId="62" borderId="16"/>
    <xf numFmtId="4" fontId="15" fillId="62" borderId="16"/>
    <xf numFmtId="4" fontId="15" fillId="62" borderId="16"/>
    <xf numFmtId="4" fontId="15" fillId="62" borderId="16"/>
    <xf numFmtId="4" fontId="15" fillId="62" borderId="16"/>
    <xf numFmtId="0" fontId="15" fillId="62" borderId="16"/>
    <xf numFmtId="0" fontId="15" fillId="62" borderId="16"/>
    <xf numFmtId="0" fontId="15" fillId="62" borderId="16"/>
    <xf numFmtId="0" fontId="15" fillId="62" borderId="16"/>
    <xf numFmtId="0" fontId="15" fillId="62" borderId="16"/>
    <xf numFmtId="0" fontId="15" fillId="62" borderId="16"/>
    <xf numFmtId="0" fontId="15" fillId="62" borderId="16"/>
    <xf numFmtId="0" fontId="15" fillId="62" borderId="16"/>
    <xf numFmtId="0" fontId="15" fillId="62" borderId="16"/>
    <xf numFmtId="0" fontId="15" fillId="62" borderId="16"/>
    <xf numFmtId="0" fontId="15" fillId="62" borderId="16"/>
    <xf numFmtId="0" fontId="15" fillId="62" borderId="16"/>
    <xf numFmtId="0" fontId="15" fillId="62" borderId="16"/>
    <xf numFmtId="0" fontId="15" fillId="62" borderId="16"/>
    <xf numFmtId="0" fontId="15" fillId="62" borderId="16"/>
    <xf numFmtId="0" fontId="15" fillId="62" borderId="16"/>
    <xf numFmtId="0" fontId="15" fillId="62" borderId="16"/>
    <xf numFmtId="0" fontId="15" fillId="62" borderId="16"/>
    <xf numFmtId="0" fontId="15" fillId="62" borderId="16"/>
    <xf numFmtId="0" fontId="15" fillId="62" borderId="16"/>
    <xf numFmtId="0" fontId="15" fillId="62" borderId="16"/>
    <xf numFmtId="0" fontId="15" fillId="62" borderId="16"/>
    <xf numFmtId="0" fontId="15" fillId="62" borderId="16"/>
    <xf numFmtId="0" fontId="15" fillId="62" borderId="16"/>
    <xf numFmtId="0" fontId="15" fillId="62" borderId="16"/>
    <xf numFmtId="0" fontId="15" fillId="62" borderId="16"/>
    <xf numFmtId="0" fontId="15" fillId="62" borderId="16"/>
    <xf numFmtId="0" fontId="15" fillId="62" borderId="19"/>
    <xf numFmtId="0" fontId="23" fillId="30" borderId="23" applyNumberFormat="0" applyAlignment="0" applyProtection="0"/>
    <xf numFmtId="0" fontId="23" fillId="30" borderId="23" applyNumberFormat="0" applyAlignment="0" applyProtection="0"/>
    <xf numFmtId="0" fontId="23" fillId="30" borderId="23" applyNumberFormat="0" applyAlignment="0" applyProtection="0"/>
    <xf numFmtId="0" fontId="23" fillId="30" borderId="23" applyNumberFormat="0" applyAlignment="0" applyProtection="0"/>
    <xf numFmtId="0" fontId="87" fillId="0" borderId="0">
      <alignment vertical="top" wrapText="1"/>
    </xf>
    <xf numFmtId="0" fontId="88" fillId="0" borderId="0"/>
    <xf numFmtId="183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53" fillId="0" borderId="44" applyNumberFormat="0" applyFill="0" applyAlignment="0" applyProtection="0"/>
    <xf numFmtId="0" fontId="53" fillId="0" borderId="44" applyNumberFormat="0" applyFill="0" applyAlignment="0" applyProtection="0"/>
    <xf numFmtId="164" fontId="90" fillId="64" borderId="50">
      <alignment vertical="center"/>
    </xf>
    <xf numFmtId="164" fontId="90" fillId="64" borderId="50">
      <alignment vertical="center"/>
    </xf>
    <xf numFmtId="4" fontId="90" fillId="64" borderId="50">
      <alignment vertical="center"/>
    </xf>
    <xf numFmtId="4" fontId="90" fillId="64" borderId="50">
      <alignment vertical="center"/>
    </xf>
    <xf numFmtId="174" fontId="90" fillId="64" borderId="50">
      <alignment vertical="center"/>
    </xf>
    <xf numFmtId="174" fontId="90" fillId="64" borderId="50">
      <alignment vertical="center"/>
    </xf>
    <xf numFmtId="175" fontId="90" fillId="64" borderId="50">
      <alignment vertical="center"/>
    </xf>
    <xf numFmtId="175" fontId="90" fillId="64" borderId="50">
      <alignment vertical="center"/>
    </xf>
    <xf numFmtId="3" fontId="90" fillId="64" borderId="50">
      <alignment vertical="center"/>
    </xf>
    <xf numFmtId="3" fontId="90" fillId="64" borderId="50">
      <alignment vertical="center"/>
    </xf>
    <xf numFmtId="0" fontId="91" fillId="64" borderId="50">
      <alignment vertical="center"/>
    </xf>
    <xf numFmtId="0" fontId="91" fillId="64" borderId="50">
      <alignment vertical="center"/>
    </xf>
    <xf numFmtId="0" fontId="91" fillId="64" borderId="50">
      <alignment vertical="center"/>
    </xf>
    <xf numFmtId="0" fontId="91" fillId="64" borderId="50">
      <alignment vertical="center"/>
    </xf>
    <xf numFmtId="0" fontId="91" fillId="64" borderId="50">
      <alignment vertical="center"/>
    </xf>
    <xf numFmtId="0" fontId="91" fillId="64" borderId="50">
      <alignment vertical="center"/>
    </xf>
    <xf numFmtId="184" fontId="92" fillId="64" borderId="50">
      <alignment vertical="center"/>
    </xf>
    <xf numFmtId="184" fontId="92" fillId="64" borderId="50">
      <alignment vertical="center"/>
    </xf>
    <xf numFmtId="185" fontId="92" fillId="64" borderId="50">
      <alignment vertical="center"/>
    </xf>
    <xf numFmtId="185" fontId="92" fillId="64" borderId="50">
      <alignment vertical="center"/>
    </xf>
    <xf numFmtId="186" fontId="92" fillId="64" borderId="50">
      <alignment vertical="center"/>
    </xf>
    <xf numFmtId="186" fontId="92" fillId="64" borderId="50">
      <alignment vertical="center"/>
    </xf>
    <xf numFmtId="165" fontId="93" fillId="64" borderId="50">
      <alignment vertical="center"/>
    </xf>
    <xf numFmtId="165" fontId="93" fillId="64" borderId="50">
      <alignment vertical="center"/>
    </xf>
    <xf numFmtId="10" fontId="93" fillId="64" borderId="50">
      <alignment vertical="center"/>
    </xf>
    <xf numFmtId="10" fontId="93" fillId="64" borderId="50">
      <alignment vertical="center"/>
    </xf>
    <xf numFmtId="9" fontId="93" fillId="64" borderId="50">
      <alignment vertical="center"/>
    </xf>
    <xf numFmtId="9" fontId="93" fillId="64" borderId="50">
      <alignment vertical="center"/>
    </xf>
    <xf numFmtId="0" fontId="94" fillId="64" borderId="50">
      <alignment vertical="center"/>
    </xf>
    <xf numFmtId="0" fontId="94" fillId="64" borderId="50">
      <alignment vertical="center"/>
    </xf>
    <xf numFmtId="0" fontId="95" fillId="64" borderId="50">
      <alignment horizontal="left" vertical="center"/>
    </xf>
    <xf numFmtId="0" fontId="95" fillId="64" borderId="50">
      <alignment horizontal="left" vertical="center"/>
    </xf>
    <xf numFmtId="164" fontId="96" fillId="65" borderId="50">
      <alignment vertical="center"/>
    </xf>
    <xf numFmtId="164" fontId="96" fillId="65" borderId="50">
      <alignment vertical="center"/>
    </xf>
    <xf numFmtId="4" fontId="96" fillId="65" borderId="50">
      <alignment vertical="center"/>
    </xf>
    <xf numFmtId="4" fontId="96" fillId="65" borderId="50">
      <alignment vertical="center"/>
    </xf>
    <xf numFmtId="174" fontId="96" fillId="65" borderId="50">
      <alignment vertical="center"/>
    </xf>
    <xf numFmtId="174" fontId="96" fillId="65" borderId="50">
      <alignment vertical="center"/>
    </xf>
    <xf numFmtId="175" fontId="96" fillId="65" borderId="50">
      <alignment vertical="center"/>
    </xf>
    <xf numFmtId="175" fontId="96" fillId="65" borderId="50">
      <alignment vertical="center"/>
    </xf>
    <xf numFmtId="3" fontId="96" fillId="65" borderId="50">
      <alignment vertical="center"/>
    </xf>
    <xf numFmtId="3" fontId="96" fillId="65" borderId="50">
      <alignment vertical="center"/>
    </xf>
    <xf numFmtId="0" fontId="97" fillId="65" borderId="50">
      <alignment vertical="center"/>
    </xf>
    <xf numFmtId="0" fontId="97" fillId="65" borderId="50">
      <alignment vertical="center"/>
    </xf>
    <xf numFmtId="0" fontId="97" fillId="65" borderId="50">
      <alignment vertical="center"/>
    </xf>
    <xf numFmtId="0" fontId="97" fillId="65" borderId="50">
      <alignment vertical="center"/>
    </xf>
    <xf numFmtId="0" fontId="97" fillId="65" borderId="50">
      <alignment vertical="center"/>
    </xf>
    <xf numFmtId="0" fontId="97" fillId="65" borderId="50">
      <alignment vertical="center"/>
    </xf>
    <xf numFmtId="184" fontId="98" fillId="65" borderId="50">
      <alignment vertical="center"/>
    </xf>
    <xf numFmtId="184" fontId="98" fillId="65" borderId="50">
      <alignment vertical="center"/>
    </xf>
    <xf numFmtId="185" fontId="98" fillId="65" borderId="50">
      <alignment vertical="center"/>
    </xf>
    <xf numFmtId="185" fontId="98" fillId="65" borderId="50">
      <alignment vertical="center"/>
    </xf>
    <xf numFmtId="186" fontId="98" fillId="65" borderId="50">
      <alignment vertical="center"/>
    </xf>
    <xf numFmtId="186" fontId="98" fillId="65" borderId="50">
      <alignment vertical="center"/>
    </xf>
    <xf numFmtId="165" fontId="99" fillId="65" borderId="50">
      <alignment vertical="center"/>
    </xf>
    <xf numFmtId="165" fontId="99" fillId="65" borderId="50">
      <alignment vertical="center"/>
    </xf>
    <xf numFmtId="10" fontId="99" fillId="65" borderId="50">
      <alignment vertical="center"/>
    </xf>
    <xf numFmtId="10" fontId="99" fillId="65" borderId="50">
      <alignment vertical="center"/>
    </xf>
    <xf numFmtId="9" fontId="99" fillId="65" borderId="50">
      <alignment vertical="center"/>
    </xf>
    <xf numFmtId="9" fontId="99" fillId="65" borderId="50">
      <alignment vertical="center"/>
    </xf>
    <xf numFmtId="0" fontId="100" fillId="65" borderId="50">
      <alignment vertical="center"/>
    </xf>
    <xf numFmtId="0" fontId="100" fillId="65" borderId="50">
      <alignment vertical="center"/>
    </xf>
    <xf numFmtId="0" fontId="101" fillId="65" borderId="50">
      <alignment horizontal="left" vertical="center"/>
    </xf>
    <xf numFmtId="0" fontId="101" fillId="65" borderId="50">
      <alignment horizontal="left" vertical="center"/>
    </xf>
    <xf numFmtId="164" fontId="90" fillId="66" borderId="51">
      <alignment vertical="center"/>
    </xf>
    <xf numFmtId="164" fontId="90" fillId="66" borderId="51">
      <alignment vertical="center"/>
    </xf>
    <xf numFmtId="4" fontId="90" fillId="66" borderId="51">
      <alignment vertical="center"/>
    </xf>
    <xf numFmtId="4" fontId="90" fillId="66" borderId="51">
      <alignment vertical="center"/>
    </xf>
    <xf numFmtId="174" fontId="90" fillId="66" borderId="51">
      <alignment vertical="center"/>
    </xf>
    <xf numFmtId="174" fontId="90" fillId="66" borderId="51">
      <alignment vertical="center"/>
    </xf>
    <xf numFmtId="175" fontId="90" fillId="66" borderId="51">
      <alignment vertical="center"/>
    </xf>
    <xf numFmtId="175" fontId="90" fillId="66" borderId="51">
      <alignment vertical="center"/>
    </xf>
    <xf numFmtId="3" fontId="90" fillId="66" borderId="51">
      <alignment vertical="center"/>
    </xf>
    <xf numFmtId="3" fontId="90" fillId="66" borderId="51">
      <alignment vertical="center"/>
    </xf>
    <xf numFmtId="0" fontId="91" fillId="66" borderId="51">
      <alignment vertical="center"/>
    </xf>
    <xf numFmtId="0" fontId="91" fillId="66" borderId="51">
      <alignment vertical="center"/>
    </xf>
    <xf numFmtId="0" fontId="91" fillId="66" borderId="51">
      <alignment vertical="center"/>
    </xf>
    <xf numFmtId="0" fontId="91" fillId="66" borderId="51">
      <alignment vertical="center"/>
    </xf>
    <xf numFmtId="0" fontId="91" fillId="66" borderId="51">
      <alignment vertical="center"/>
    </xf>
    <xf numFmtId="0" fontId="91" fillId="66" borderId="51">
      <alignment vertical="center"/>
    </xf>
    <xf numFmtId="184" fontId="92" fillId="66" borderId="51">
      <alignment vertical="center"/>
    </xf>
    <xf numFmtId="184" fontId="92" fillId="66" borderId="51">
      <alignment vertical="center"/>
    </xf>
    <xf numFmtId="185" fontId="92" fillId="66" borderId="51">
      <alignment vertical="center"/>
    </xf>
    <xf numFmtId="185" fontId="92" fillId="66" borderId="51">
      <alignment vertical="center"/>
    </xf>
    <xf numFmtId="186" fontId="92" fillId="66" borderId="51">
      <alignment vertical="center"/>
    </xf>
    <xf numFmtId="186" fontId="92" fillId="66" borderId="51">
      <alignment vertical="center"/>
    </xf>
    <xf numFmtId="165" fontId="93" fillId="66" borderId="51">
      <alignment vertical="center"/>
    </xf>
    <xf numFmtId="165" fontId="93" fillId="66" borderId="51">
      <alignment vertical="center"/>
    </xf>
    <xf numFmtId="10" fontId="93" fillId="66" borderId="51">
      <alignment vertical="center"/>
    </xf>
    <xf numFmtId="10" fontId="93" fillId="66" borderId="51">
      <alignment vertical="center"/>
    </xf>
    <xf numFmtId="9" fontId="93" fillId="66" borderId="51">
      <alignment vertical="center"/>
    </xf>
    <xf numFmtId="9" fontId="93" fillId="66" borderId="51">
      <alignment vertical="center"/>
    </xf>
    <xf numFmtId="0" fontId="94" fillId="66" borderId="51">
      <alignment vertical="center"/>
    </xf>
    <xf numFmtId="0" fontId="94" fillId="66" borderId="51">
      <alignment vertical="center"/>
    </xf>
    <xf numFmtId="0" fontId="95" fillId="66" borderId="51">
      <alignment horizontal="left" vertical="center"/>
    </xf>
    <xf numFmtId="0" fontId="95" fillId="66" borderId="51">
      <alignment horizontal="left" vertical="center"/>
    </xf>
    <xf numFmtId="164" fontId="96" fillId="67" borderId="51">
      <alignment vertical="center"/>
    </xf>
    <xf numFmtId="164" fontId="96" fillId="67" borderId="51">
      <alignment vertical="center"/>
    </xf>
    <xf numFmtId="4" fontId="96" fillId="67" borderId="51">
      <alignment vertical="center"/>
    </xf>
    <xf numFmtId="4" fontId="96" fillId="67" borderId="51">
      <alignment vertical="center"/>
    </xf>
    <xf numFmtId="174" fontId="96" fillId="67" borderId="51">
      <alignment vertical="center"/>
    </xf>
    <xf numFmtId="174" fontId="96" fillId="67" borderId="51">
      <alignment vertical="center"/>
    </xf>
    <xf numFmtId="175" fontId="96" fillId="67" borderId="51">
      <alignment vertical="center"/>
    </xf>
    <xf numFmtId="175" fontId="96" fillId="67" borderId="51">
      <alignment vertical="center"/>
    </xf>
    <xf numFmtId="3" fontId="96" fillId="67" borderId="51">
      <alignment vertical="center"/>
    </xf>
    <xf numFmtId="3" fontId="96" fillId="67" borderId="51">
      <alignment vertical="center"/>
    </xf>
    <xf numFmtId="0" fontId="97" fillId="67" borderId="51">
      <alignment vertical="center"/>
    </xf>
    <xf numFmtId="0" fontId="97" fillId="67" borderId="51">
      <alignment vertical="center"/>
    </xf>
    <xf numFmtId="0" fontId="97" fillId="67" borderId="51">
      <alignment vertical="center"/>
    </xf>
    <xf numFmtId="0" fontId="97" fillId="67" borderId="51">
      <alignment vertical="center"/>
    </xf>
    <xf numFmtId="0" fontId="97" fillId="67" borderId="51">
      <alignment vertical="center"/>
    </xf>
    <xf numFmtId="0" fontId="97" fillId="67" borderId="51">
      <alignment vertical="center"/>
    </xf>
    <xf numFmtId="184" fontId="98" fillId="67" borderId="51">
      <alignment vertical="center"/>
    </xf>
    <xf numFmtId="184" fontId="98" fillId="67" borderId="51">
      <alignment vertical="center"/>
    </xf>
    <xf numFmtId="185" fontId="98" fillId="67" borderId="51">
      <alignment vertical="center"/>
    </xf>
    <xf numFmtId="185" fontId="98" fillId="67" borderId="51">
      <alignment vertical="center"/>
    </xf>
    <xf numFmtId="186" fontId="98" fillId="67" borderId="51">
      <alignment vertical="center"/>
    </xf>
    <xf numFmtId="186" fontId="98" fillId="67" borderId="51">
      <alignment vertical="center"/>
    </xf>
    <xf numFmtId="165" fontId="99" fillId="67" borderId="51">
      <alignment vertical="center"/>
    </xf>
    <xf numFmtId="165" fontId="99" fillId="67" borderId="51">
      <alignment vertical="center"/>
    </xf>
    <xf numFmtId="10" fontId="99" fillId="67" borderId="51">
      <alignment vertical="center"/>
    </xf>
    <xf numFmtId="10" fontId="99" fillId="67" borderId="51">
      <alignment vertical="center"/>
    </xf>
    <xf numFmtId="9" fontId="99" fillId="67" borderId="51">
      <alignment vertical="center"/>
    </xf>
    <xf numFmtId="9" fontId="99" fillId="67" borderId="51">
      <alignment vertical="center"/>
    </xf>
    <xf numFmtId="0" fontId="100" fillId="67" borderId="51">
      <alignment vertical="center"/>
    </xf>
    <xf numFmtId="0" fontId="100" fillId="67" borderId="51">
      <alignment vertical="center"/>
    </xf>
    <xf numFmtId="0" fontId="101" fillId="67" borderId="51">
      <alignment horizontal="left" vertical="center"/>
    </xf>
    <xf numFmtId="0" fontId="101" fillId="67" borderId="51">
      <alignment horizontal="left" vertical="center"/>
    </xf>
    <xf numFmtId="0" fontId="7" fillId="68" borderId="52" applyBorder="0">
      <alignment horizontal="left" vertical="center"/>
    </xf>
    <xf numFmtId="0" fontId="7" fillId="68" borderId="52" applyBorder="0">
      <alignment horizontal="left" vertical="center"/>
    </xf>
    <xf numFmtId="0" fontId="7" fillId="68" borderId="52" applyBorder="0">
      <alignment horizontal="left" vertical="center"/>
    </xf>
    <xf numFmtId="0" fontId="7" fillId="68" borderId="52" applyBorder="0">
      <alignment horizontal="left" vertical="center"/>
    </xf>
    <xf numFmtId="0" fontId="7" fillId="68" borderId="52" applyBorder="0">
      <alignment horizontal="left" vertical="center"/>
    </xf>
    <xf numFmtId="0" fontId="7" fillId="68" borderId="52" applyBorder="0">
      <alignment horizontal="left" vertical="center"/>
    </xf>
    <xf numFmtId="49" fontId="7" fillId="48" borderId="16">
      <alignment vertical="center" wrapText="1"/>
    </xf>
    <xf numFmtId="49" fontId="7" fillId="48" borderId="16">
      <alignment vertical="center" wrapText="1"/>
    </xf>
    <xf numFmtId="49" fontId="7" fillId="48" borderId="16">
      <alignment vertical="center" wrapText="1"/>
    </xf>
    <xf numFmtId="49" fontId="7" fillId="48" borderId="16">
      <alignment vertical="center" wrapText="1"/>
    </xf>
    <xf numFmtId="49" fontId="7" fillId="48" borderId="16">
      <alignment vertical="center" wrapText="1"/>
    </xf>
    <xf numFmtId="49" fontId="7" fillId="48" borderId="16">
      <alignment vertical="center" wrapText="1"/>
    </xf>
    <xf numFmtId="0" fontId="7" fillId="59" borderId="16">
      <alignment horizontal="left" vertical="center" wrapText="1"/>
    </xf>
    <xf numFmtId="0" fontId="7" fillId="59" borderId="16">
      <alignment horizontal="left" vertical="center" wrapText="1"/>
    </xf>
    <xf numFmtId="0" fontId="7" fillId="59" borderId="16">
      <alignment horizontal="left" vertical="center" wrapText="1"/>
    </xf>
    <xf numFmtId="0" fontId="7" fillId="59" borderId="16">
      <alignment horizontal="left" vertical="center" wrapText="1"/>
    </xf>
    <xf numFmtId="0" fontId="7" fillId="59" borderId="16">
      <alignment horizontal="left" vertical="center" wrapText="1"/>
    </xf>
    <xf numFmtId="0" fontId="7" fillId="59" borderId="16">
      <alignment horizontal="left" vertical="center" wrapText="1"/>
    </xf>
    <xf numFmtId="0" fontId="5" fillId="59" borderId="16">
      <alignment horizontal="left" vertical="center" wrapText="1"/>
    </xf>
    <xf numFmtId="0" fontId="5" fillId="59" borderId="16">
      <alignment horizontal="left" vertical="center" wrapText="1"/>
    </xf>
    <xf numFmtId="0" fontId="5" fillId="59" borderId="16">
      <alignment horizontal="left" vertical="center" wrapText="1"/>
    </xf>
    <xf numFmtId="0" fontId="5" fillId="59" borderId="16">
      <alignment horizontal="left" vertical="center" wrapText="1"/>
    </xf>
    <xf numFmtId="0" fontId="5" fillId="59" borderId="16">
      <alignment horizontal="left" vertical="center" wrapText="1"/>
    </xf>
    <xf numFmtId="0" fontId="5" fillId="59" borderId="16">
      <alignment horizontal="left" vertical="center" wrapText="1"/>
    </xf>
    <xf numFmtId="0" fontId="7" fillId="69" borderId="53">
      <alignment horizontal="left" vertical="center" wrapText="1"/>
    </xf>
    <xf numFmtId="0" fontId="7" fillId="69" borderId="53">
      <alignment horizontal="left" vertical="center" wrapText="1"/>
    </xf>
    <xf numFmtId="0" fontId="7" fillId="69" borderId="53">
      <alignment horizontal="left" vertical="center" wrapText="1"/>
    </xf>
    <xf numFmtId="0" fontId="7" fillId="69" borderId="53">
      <alignment horizontal="left" vertical="center" wrapText="1"/>
    </xf>
    <xf numFmtId="0" fontId="7" fillId="69" borderId="53">
      <alignment horizontal="left" vertical="center" wrapText="1"/>
    </xf>
    <xf numFmtId="0" fontId="7" fillId="69" borderId="53">
      <alignment horizontal="left" vertical="center" wrapText="1"/>
    </xf>
    <xf numFmtId="0" fontId="84" fillId="70" borderId="16">
      <alignment horizontal="left" vertical="center" wrapText="1"/>
    </xf>
    <xf numFmtId="0" fontId="84" fillId="70" borderId="16">
      <alignment horizontal="left" vertical="center" wrapText="1"/>
    </xf>
    <xf numFmtId="0" fontId="84" fillId="70" borderId="16">
      <alignment horizontal="left" vertical="center" wrapText="1"/>
    </xf>
    <xf numFmtId="0" fontId="84" fillId="70" borderId="16">
      <alignment horizontal="left" vertical="center" wrapText="1"/>
    </xf>
    <xf numFmtId="0" fontId="84" fillId="70" borderId="16">
      <alignment horizontal="left" vertical="center" wrapText="1"/>
    </xf>
    <xf numFmtId="0" fontId="84" fillId="70" borderId="16">
      <alignment horizontal="left" vertical="center" wrapText="1"/>
    </xf>
    <xf numFmtId="49" fontId="102" fillId="71" borderId="54">
      <alignment vertical="center"/>
    </xf>
    <xf numFmtId="0" fontId="8" fillId="71" borderId="55">
      <alignment horizontal="left" vertical="center" wrapText="1"/>
    </xf>
    <xf numFmtId="49" fontId="7" fillId="52" borderId="56">
      <alignment vertical="center" wrapText="1"/>
    </xf>
    <xf numFmtId="0" fontId="7" fillId="53" borderId="16">
      <alignment horizontal="left" vertical="center" wrapText="1"/>
    </xf>
    <xf numFmtId="0" fontId="7" fillId="53" borderId="16">
      <alignment horizontal="left" vertical="center" wrapText="1"/>
    </xf>
    <xf numFmtId="0" fontId="7" fillId="53" borderId="16">
      <alignment horizontal="left" vertical="center" wrapText="1"/>
    </xf>
    <xf numFmtId="0" fontId="7" fillId="53" borderId="16">
      <alignment horizontal="left" vertical="center" wrapText="1"/>
    </xf>
    <xf numFmtId="0" fontId="7" fillId="53" borderId="16">
      <alignment horizontal="left" vertical="center" wrapText="1"/>
    </xf>
    <xf numFmtId="0" fontId="7" fillId="53" borderId="16">
      <alignment horizontal="left" vertical="center" wrapText="1"/>
    </xf>
    <xf numFmtId="0" fontId="7" fillId="54" borderId="16">
      <alignment horizontal="left" vertical="center" wrapText="1"/>
    </xf>
    <xf numFmtId="0" fontId="7" fillId="54" borderId="16">
      <alignment horizontal="left" vertical="center" wrapText="1"/>
    </xf>
    <xf numFmtId="0" fontId="7" fillId="54" borderId="16">
      <alignment horizontal="left" vertical="center" wrapText="1"/>
    </xf>
    <xf numFmtId="0" fontId="7" fillId="54" borderId="16">
      <alignment horizontal="left" vertical="center" wrapText="1"/>
    </xf>
    <xf numFmtId="0" fontId="7" fillId="54" borderId="16">
      <alignment horizontal="left" vertical="center" wrapText="1"/>
    </xf>
    <xf numFmtId="0" fontId="7" fillId="54" borderId="16">
      <alignment horizontal="left" vertical="center" wrapText="1"/>
    </xf>
    <xf numFmtId="0" fontId="7" fillId="55" borderId="16">
      <alignment horizontal="left" vertical="center" wrapText="1"/>
    </xf>
    <xf numFmtId="0" fontId="7" fillId="55" borderId="16">
      <alignment horizontal="left" vertical="center" wrapText="1"/>
    </xf>
    <xf numFmtId="0" fontId="7" fillId="55" borderId="16">
      <alignment horizontal="left" vertical="center" wrapText="1"/>
    </xf>
    <xf numFmtId="0" fontId="7" fillId="55" borderId="16">
      <alignment horizontal="left" vertical="center" wrapText="1"/>
    </xf>
    <xf numFmtId="0" fontId="7" fillId="55" borderId="16">
      <alignment horizontal="left" vertical="center" wrapText="1"/>
    </xf>
    <xf numFmtId="0" fontId="7" fillId="55" borderId="16">
      <alignment horizontal="left" vertical="center" wrapText="1"/>
    </xf>
    <xf numFmtId="0" fontId="7" fillId="56" borderId="16">
      <alignment horizontal="left" vertical="center" wrapText="1"/>
    </xf>
    <xf numFmtId="0" fontId="7" fillId="56" borderId="16">
      <alignment horizontal="left" vertical="center" wrapText="1"/>
    </xf>
    <xf numFmtId="0" fontId="7" fillId="56" borderId="16">
      <alignment horizontal="left" vertical="center" wrapText="1"/>
    </xf>
    <xf numFmtId="0" fontId="7" fillId="56" borderId="16">
      <alignment horizontal="left" vertical="center" wrapText="1"/>
    </xf>
    <xf numFmtId="0" fontId="7" fillId="56" borderId="16">
      <alignment horizontal="left" vertical="center" wrapText="1"/>
    </xf>
    <xf numFmtId="0" fontId="7" fillId="56" borderId="16">
      <alignment horizontal="left" vertical="center" wrapText="1"/>
    </xf>
    <xf numFmtId="0" fontId="7" fillId="57" borderId="16">
      <alignment horizontal="left" vertical="center" wrapText="1"/>
    </xf>
    <xf numFmtId="0" fontId="7" fillId="57" borderId="16">
      <alignment horizontal="left" vertical="center" wrapText="1"/>
    </xf>
    <xf numFmtId="0" fontId="7" fillId="57" borderId="16">
      <alignment horizontal="left" vertical="center" wrapText="1"/>
    </xf>
    <xf numFmtId="0" fontId="7" fillId="57" borderId="16">
      <alignment horizontal="left" vertical="center" wrapText="1"/>
    </xf>
    <xf numFmtId="0" fontId="7" fillId="57" borderId="16">
      <alignment horizontal="left" vertical="center" wrapText="1"/>
    </xf>
    <xf numFmtId="0" fontId="7" fillId="57" borderId="16">
      <alignment horizontal="left" vertical="center" wrapText="1"/>
    </xf>
    <xf numFmtId="49" fontId="103" fillId="72" borderId="54">
      <alignment vertical="center"/>
    </xf>
    <xf numFmtId="0" fontId="8" fillId="73" borderId="55">
      <alignment horizontal="left" vertical="center" wrapText="1"/>
    </xf>
    <xf numFmtId="49" fontId="102" fillId="27" borderId="54">
      <alignment vertical="center"/>
    </xf>
    <xf numFmtId="0" fontId="8" fillId="27" borderId="55">
      <alignment horizontal="left" vertical="center" wrapText="1"/>
    </xf>
    <xf numFmtId="0" fontId="5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57" applyNumberFormat="0" applyFill="0" applyAlignment="0" applyProtection="0"/>
    <xf numFmtId="0" fontId="107" fillId="0" borderId="58" applyNumberFormat="0" applyFill="0" applyAlignment="0" applyProtection="0"/>
    <xf numFmtId="0" fontId="108" fillId="0" borderId="59" applyNumberFormat="0" applyFill="0" applyAlignment="0" applyProtection="0"/>
    <xf numFmtId="0" fontId="108" fillId="0" borderId="0" applyNumberFormat="0" applyFill="0" applyBorder="0" applyAlignment="0" applyProtection="0"/>
    <xf numFmtId="0" fontId="54" fillId="0" borderId="44" applyNumberFormat="0" applyFill="0" applyAlignment="0" applyProtection="0"/>
    <xf numFmtId="0" fontId="54" fillId="0" borderId="44" applyNumberFormat="0" applyFill="0" applyAlignment="0" applyProtection="0"/>
    <xf numFmtId="0" fontId="54" fillId="0" borderId="44" applyNumberFormat="0" applyFill="0" applyAlignment="0" applyProtection="0"/>
    <xf numFmtId="0" fontId="54" fillId="0" borderId="44" applyNumberFormat="0" applyFill="0" applyAlignment="0" applyProtection="0"/>
    <xf numFmtId="0" fontId="54" fillId="0" borderId="44" applyNumberFormat="0" applyFill="0" applyAlignment="0" applyProtection="0"/>
    <xf numFmtId="0" fontId="54" fillId="0" borderId="44" applyNumberFormat="0" applyFill="0" applyAlignment="0" applyProtection="0"/>
    <xf numFmtId="0" fontId="54" fillId="0" borderId="44" applyNumberFormat="0" applyFill="0" applyAlignment="0" applyProtection="0"/>
    <xf numFmtId="0" fontId="54" fillId="0" borderId="44" applyNumberFormat="0" applyFill="0" applyAlignment="0" applyProtection="0"/>
    <xf numFmtId="0" fontId="54" fillId="0" borderId="44" applyNumberFormat="0" applyFill="0" applyAlignment="0" applyProtection="0"/>
    <xf numFmtId="0" fontId="54" fillId="0" borderId="44" applyNumberFormat="0" applyFill="0" applyAlignment="0" applyProtection="0"/>
    <xf numFmtId="0" fontId="54" fillId="0" borderId="44" applyNumberFormat="0" applyFill="0" applyAlignment="0" applyProtection="0"/>
    <xf numFmtId="0" fontId="54" fillId="0" borderId="44" applyNumberFormat="0" applyFill="0" applyAlignment="0" applyProtection="0"/>
    <xf numFmtId="0" fontId="54" fillId="0" borderId="44" applyNumberFormat="0" applyFill="0" applyAlignment="0" applyProtection="0"/>
    <xf numFmtId="0" fontId="54" fillId="0" borderId="44" applyNumberFormat="0" applyFill="0" applyAlignment="0" applyProtection="0"/>
    <xf numFmtId="0" fontId="54" fillId="0" borderId="44" applyNumberFormat="0" applyFill="0" applyAlignment="0" applyProtection="0"/>
    <xf numFmtId="0" fontId="54" fillId="0" borderId="44" applyNumberFormat="0" applyFill="0" applyAlignment="0" applyProtection="0"/>
    <xf numFmtId="0" fontId="86" fillId="0" borderId="0" applyNumberFormat="0" applyFill="0" applyBorder="0" applyAlignment="0" applyProtection="0"/>
    <xf numFmtId="0" fontId="58" fillId="0" borderId="45" applyNumberFormat="0" applyFill="0" applyAlignment="0" applyProtection="0"/>
    <xf numFmtId="0" fontId="60" fillId="0" borderId="46" applyNumberFormat="0" applyFill="0" applyAlignment="0" applyProtection="0"/>
    <xf numFmtId="0" fontId="62" fillId="0" borderId="47" applyNumberFormat="0" applyFill="0" applyAlignment="0" applyProtection="0"/>
    <xf numFmtId="0" fontId="62" fillId="0" borderId="0" applyNumberFormat="0" applyFill="0" applyBorder="0" applyAlignment="0" applyProtection="0"/>
    <xf numFmtId="0" fontId="109" fillId="0" borderId="0">
      <alignment horizontal="left" vertical="top"/>
    </xf>
    <xf numFmtId="0" fontId="23" fillId="9" borderId="23" applyNumberFormat="0" applyAlignment="0" applyProtection="0"/>
    <xf numFmtId="0" fontId="23" fillId="9" borderId="23" applyNumberFormat="0" applyAlignment="0" applyProtection="0"/>
    <xf numFmtId="0" fontId="23" fillId="9" borderId="23" applyNumberFormat="0" applyAlignment="0" applyProtection="0"/>
    <xf numFmtId="0" fontId="23" fillId="9" borderId="23" applyNumberFormat="0" applyAlignment="0" applyProtection="0"/>
    <xf numFmtId="187" fontId="77" fillId="0" borderId="0" applyFont="0" applyFill="0" applyBorder="0" applyAlignment="0" applyProtection="0"/>
    <xf numFmtId="188" fontId="77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2" fillId="31" borderId="27" applyNumberFormat="0" applyAlignment="0" applyProtection="0"/>
    <xf numFmtId="0" fontId="66" fillId="0" borderId="49" applyNumberFormat="0" applyFill="0" applyAlignment="0" applyProtection="0"/>
    <xf numFmtId="2" fontId="7" fillId="0" borderId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38" borderId="0">
      <alignment horizontal="left" vertical="center" indent="1"/>
    </xf>
    <xf numFmtId="0" fontId="32" fillId="31" borderId="27" applyNumberFormat="0" applyAlignment="0" applyProtection="0"/>
    <xf numFmtId="0" fontId="14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/>
  </cellStyleXfs>
  <cellXfs count="437">
    <xf numFmtId="0" fontId="0" fillId="0" borderId="0" xfId="0"/>
    <xf numFmtId="0" fontId="4" fillId="0" borderId="0" xfId="0" applyFont="1"/>
    <xf numFmtId="0" fontId="5" fillId="0" borderId="0" xfId="0" applyFont="1"/>
    <xf numFmtId="164" fontId="0" fillId="0" borderId="0" xfId="0" applyNumberFormat="1"/>
    <xf numFmtId="3" fontId="0" fillId="0" borderId="0" xfId="0" applyNumberFormat="1"/>
    <xf numFmtId="0" fontId="0" fillId="3" borderId="0" xfId="0" applyFill="1"/>
    <xf numFmtId="0" fontId="0" fillId="0" borderId="0" xfId="0" applyAlignment="1">
      <alignment horizontal="right"/>
    </xf>
    <xf numFmtId="0" fontId="6" fillId="4" borderId="5" xfId="0" applyNumberFormat="1" applyFont="1" applyFill="1" applyBorder="1" applyAlignment="1">
      <alignment horizontal="center"/>
    </xf>
    <xf numFmtId="0" fontId="0" fillId="4" borderId="0" xfId="0" applyFill="1"/>
    <xf numFmtId="0" fontId="7" fillId="4" borderId="0" xfId="0" applyFont="1" applyFill="1"/>
    <xf numFmtId="0" fontId="7" fillId="0" borderId="0" xfId="0" applyFont="1"/>
    <xf numFmtId="3" fontId="6" fillId="4" borderId="6" xfId="0" applyNumberFormat="1" applyFont="1" applyFill="1" applyBorder="1"/>
    <xf numFmtId="165" fontId="5" fillId="5" borderId="0" xfId="2" applyNumberFormat="1" applyFont="1" applyFill="1" applyBorder="1"/>
    <xf numFmtId="0" fontId="5" fillId="0" borderId="8" xfId="0" applyFont="1" applyBorder="1"/>
    <xf numFmtId="0" fontId="0" fillId="0" borderId="9" xfId="0" applyBorder="1"/>
    <xf numFmtId="164" fontId="0" fillId="0" borderId="9" xfId="0" applyNumberFormat="1" applyBorder="1"/>
    <xf numFmtId="3" fontId="0" fillId="0" borderId="9" xfId="0" applyNumberFormat="1" applyBorder="1" applyAlignment="1">
      <alignment horizontal="right"/>
    </xf>
    <xf numFmtId="10" fontId="3" fillId="0" borderId="9" xfId="2" applyNumberFormat="1" applyFont="1" applyBorder="1"/>
    <xf numFmtId="0" fontId="0" fillId="3" borderId="9" xfId="0" applyFill="1" applyBorder="1"/>
    <xf numFmtId="3" fontId="6" fillId="0" borderId="10" xfId="0" applyNumberFormat="1" applyFont="1" applyBorder="1"/>
    <xf numFmtId="164" fontId="6" fillId="5" borderId="0" xfId="0" applyNumberFormat="1" applyFont="1" applyFill="1"/>
    <xf numFmtId="165" fontId="6" fillId="5" borderId="0" xfId="2" applyNumberFormat="1" applyFont="1" applyFill="1"/>
    <xf numFmtId="0" fontId="0" fillId="5" borderId="0" xfId="0" applyFill="1"/>
    <xf numFmtId="0" fontId="5" fillId="0" borderId="11" xfId="0" applyFont="1" applyBorder="1"/>
    <xf numFmtId="0" fontId="7" fillId="0" borderId="0" xfId="0" applyFont="1" applyBorder="1"/>
    <xf numFmtId="9" fontId="0" fillId="0" borderId="0" xfId="0" applyNumberFormat="1" applyBorder="1"/>
    <xf numFmtId="164" fontId="0" fillId="0" borderId="0" xfId="0" applyNumberFormat="1" applyBorder="1"/>
    <xf numFmtId="3" fontId="0" fillId="0" borderId="0" xfId="0" applyNumberFormat="1" applyBorder="1"/>
    <xf numFmtId="10" fontId="0" fillId="0" borderId="0" xfId="2" applyNumberFormat="1" applyFont="1" applyBorder="1"/>
    <xf numFmtId="0" fontId="0" fillId="0" borderId="0" xfId="0" applyBorder="1"/>
    <xf numFmtId="0" fontId="0" fillId="3" borderId="0" xfId="0" applyFill="1" applyBorder="1"/>
    <xf numFmtId="3" fontId="0" fillId="0" borderId="12" xfId="0" applyNumberFormat="1" applyBorder="1"/>
    <xf numFmtId="165" fontId="3" fillId="5" borderId="0" xfId="2" applyNumberFormat="1" applyFont="1" applyFill="1"/>
    <xf numFmtId="164" fontId="8" fillId="4" borderId="0" xfId="0" applyNumberFormat="1" applyFont="1" applyFill="1"/>
    <xf numFmtId="0" fontId="9" fillId="0" borderId="0" xfId="3" applyAlignment="1">
      <alignment horizontal="right"/>
    </xf>
    <xf numFmtId="0" fontId="7" fillId="0" borderId="0" xfId="0" applyFont="1" applyFill="1" applyBorder="1"/>
    <xf numFmtId="0" fontId="5" fillId="0" borderId="13" xfId="0" applyFont="1" applyBorder="1"/>
    <xf numFmtId="0" fontId="7" fillId="0" borderId="14" xfId="0" applyFont="1" applyBorder="1"/>
    <xf numFmtId="9" fontId="0" fillId="0" borderId="14" xfId="0" applyNumberFormat="1" applyBorder="1"/>
    <xf numFmtId="164" fontId="0" fillId="0" borderId="14" xfId="0" applyNumberFormat="1" applyBorder="1"/>
    <xf numFmtId="3" fontId="0" fillId="0" borderId="14" xfId="0" applyNumberFormat="1" applyBorder="1"/>
    <xf numFmtId="10" fontId="3" fillId="0" borderId="14" xfId="2" applyNumberFormat="1" applyFont="1" applyBorder="1"/>
    <xf numFmtId="0" fontId="0" fillId="0" borderId="14" xfId="0" applyBorder="1"/>
    <xf numFmtId="0" fontId="0" fillId="3" borderId="14" xfId="0" applyFill="1" applyBorder="1"/>
    <xf numFmtId="3" fontId="0" fillId="0" borderId="15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164" fontId="0" fillId="3" borderId="0" xfId="0" applyNumberFormat="1" applyFill="1" applyBorder="1"/>
    <xf numFmtId="9" fontId="10" fillId="0" borderId="0" xfId="2" applyNumberFormat="1" applyFont="1" applyBorder="1"/>
    <xf numFmtId="3" fontId="6" fillId="5" borderId="0" xfId="0" applyNumberFormat="1" applyFont="1" applyFill="1"/>
    <xf numFmtId="10" fontId="11" fillId="5" borderId="0" xfId="2" applyNumberFormat="1" applyFont="1" applyFill="1"/>
    <xf numFmtId="0" fontId="7" fillId="0" borderId="9" xfId="0" applyFont="1" applyBorder="1"/>
    <xf numFmtId="9" fontId="0" fillId="0" borderId="9" xfId="0" applyNumberFormat="1" applyBorder="1"/>
    <xf numFmtId="166" fontId="3" fillId="0" borderId="9" xfId="1" applyNumberFormat="1" applyFont="1" applyBorder="1"/>
    <xf numFmtId="3" fontId="0" fillId="3" borderId="0" xfId="0" applyNumberFormat="1" applyFill="1" applyBorder="1"/>
    <xf numFmtId="3" fontId="0" fillId="4" borderId="0" xfId="0" applyNumberFormat="1" applyFill="1"/>
    <xf numFmtId="167" fontId="7" fillId="0" borderId="0" xfId="1" applyNumberFormat="1" applyFont="1" applyBorder="1"/>
    <xf numFmtId="3" fontId="7" fillId="0" borderId="0" xfId="2" applyNumberFormat="1" applyFont="1" applyBorder="1"/>
    <xf numFmtId="3" fontId="7" fillId="0" borderId="0" xfId="0" applyNumberFormat="1" applyFont="1"/>
    <xf numFmtId="10" fontId="10" fillId="0" borderId="0" xfId="2" applyNumberFormat="1" applyFont="1" applyBorder="1"/>
    <xf numFmtId="164" fontId="7" fillId="0" borderId="0" xfId="0" applyNumberFormat="1" applyFont="1"/>
    <xf numFmtId="1" fontId="0" fillId="3" borderId="0" xfId="0" applyNumberFormat="1" applyFill="1" applyBorder="1"/>
    <xf numFmtId="1" fontId="0" fillId="3" borderId="14" xfId="0" applyNumberFormat="1" applyFill="1" applyBorder="1"/>
    <xf numFmtId="1" fontId="0" fillId="3" borderId="9" xfId="0" applyNumberFormat="1" applyFill="1" applyBorder="1"/>
    <xf numFmtId="0" fontId="5" fillId="0" borderId="0" xfId="0" applyFont="1" applyBorder="1"/>
    <xf numFmtId="10" fontId="114" fillId="5" borderId="0" xfId="2" applyNumberFormat="1" applyFont="1" applyFill="1"/>
    <xf numFmtId="0" fontId="5" fillId="74" borderId="60" xfId="0" applyFont="1" applyFill="1" applyBorder="1"/>
    <xf numFmtId="0" fontId="0" fillId="74" borderId="61" xfId="0" applyFill="1" applyBorder="1"/>
    <xf numFmtId="0" fontId="5" fillId="74" borderId="61" xfId="0" applyFont="1" applyFill="1" applyBorder="1"/>
    <xf numFmtId="10" fontId="0" fillId="74" borderId="61" xfId="2" applyNumberFormat="1" applyFont="1" applyFill="1" applyBorder="1"/>
    <xf numFmtId="0" fontId="0" fillId="74" borderId="62" xfId="0" applyFill="1" applyBorder="1"/>
    <xf numFmtId="0" fontId="5" fillId="74" borderId="63" xfId="0" applyFont="1" applyFill="1" applyBorder="1"/>
    <xf numFmtId="0" fontId="7" fillId="74" borderId="0" xfId="0" applyFont="1" applyFill="1" applyBorder="1"/>
    <xf numFmtId="0" fontId="0" fillId="74" borderId="0" xfId="0" applyFill="1" applyBorder="1"/>
    <xf numFmtId="10" fontId="0" fillId="74" borderId="0" xfId="2" applyNumberFormat="1" applyFont="1" applyFill="1" applyBorder="1"/>
    <xf numFmtId="0" fontId="0" fillId="74" borderId="64" xfId="0" applyFill="1" applyBorder="1"/>
    <xf numFmtId="0" fontId="5" fillId="74" borderId="65" xfId="0" applyFont="1" applyFill="1" applyBorder="1"/>
    <xf numFmtId="0" fontId="7" fillId="74" borderId="66" xfId="0" applyFont="1" applyFill="1" applyBorder="1"/>
    <xf numFmtId="0" fontId="0" fillId="74" borderId="66" xfId="0" applyFill="1" applyBorder="1"/>
    <xf numFmtId="10" fontId="0" fillId="74" borderId="66" xfId="2" applyNumberFormat="1" applyFont="1" applyFill="1" applyBorder="1"/>
    <xf numFmtId="0" fontId="0" fillId="74" borderId="67" xfId="0" applyFill="1" applyBorder="1"/>
    <xf numFmtId="0" fontId="5" fillId="74" borderId="68" xfId="0" applyFont="1" applyFill="1" applyBorder="1"/>
    <xf numFmtId="0" fontId="7" fillId="74" borderId="69" xfId="0" applyFont="1" applyFill="1" applyBorder="1"/>
    <xf numFmtId="0" fontId="0" fillId="74" borderId="69" xfId="0" applyFill="1" applyBorder="1"/>
    <xf numFmtId="0" fontId="5" fillId="74" borderId="69" xfId="0" applyFont="1" applyFill="1" applyBorder="1"/>
    <xf numFmtId="10" fontId="0" fillId="74" borderId="69" xfId="2" applyNumberFormat="1" applyFont="1" applyFill="1" applyBorder="1"/>
    <xf numFmtId="0" fontId="0" fillId="74" borderId="70" xfId="0" applyFill="1" applyBorder="1"/>
    <xf numFmtId="0" fontId="7" fillId="74" borderId="61" xfId="0" applyFont="1" applyFill="1" applyBorder="1"/>
    <xf numFmtId="0" fontId="7" fillId="74" borderId="66" xfId="0" applyFont="1" applyFill="1" applyBorder="1" applyAlignment="1">
      <alignment wrapText="1"/>
    </xf>
    <xf numFmtId="3" fontId="6" fillId="0" borderId="12" xfId="0" applyNumberFormat="1" applyFont="1" applyBorder="1"/>
    <xf numFmtId="0" fontId="0" fillId="75" borderId="9" xfId="0" applyFill="1" applyBorder="1"/>
    <xf numFmtId="0" fontId="0" fillId="75" borderId="10" xfId="0" applyFill="1" applyBorder="1"/>
    <xf numFmtId="0" fontId="6" fillId="75" borderId="0" xfId="0" applyFont="1" applyFill="1" applyBorder="1"/>
    <xf numFmtId="0" fontId="113" fillId="75" borderId="0" xfId="0" applyFont="1" applyFill="1" applyBorder="1"/>
    <xf numFmtId="164" fontId="6" fillId="75" borderId="0" xfId="0" applyNumberFormat="1" applyFont="1" applyFill="1" applyBorder="1" applyAlignment="1">
      <alignment horizontal="left"/>
    </xf>
    <xf numFmtId="0" fontId="0" fillId="75" borderId="0" xfId="0" applyFill="1" applyBorder="1"/>
    <xf numFmtId="10" fontId="0" fillId="75" borderId="0" xfId="2" applyNumberFormat="1" applyFont="1" applyFill="1" applyBorder="1"/>
    <xf numFmtId="0" fontId="0" fillId="75" borderId="12" xfId="0" applyFill="1" applyBorder="1"/>
    <xf numFmtId="0" fontId="6" fillId="75" borderId="11" xfId="0" applyFont="1" applyFill="1" applyBorder="1"/>
    <xf numFmtId="0" fontId="5" fillId="75" borderId="11" xfId="0" applyFont="1" applyFill="1" applyBorder="1"/>
    <xf numFmtId="0" fontId="4" fillId="75" borderId="13" xfId="0" applyFont="1" applyFill="1" applyBorder="1"/>
    <xf numFmtId="0" fontId="4" fillId="75" borderId="14" xfId="0" applyFont="1" applyFill="1" applyBorder="1"/>
    <xf numFmtId="0" fontId="4" fillId="75" borderId="15" xfId="0" applyFont="1" applyFill="1" applyBorder="1"/>
    <xf numFmtId="0" fontId="5" fillId="75" borderId="0" xfId="0" applyFont="1" applyFill="1" applyBorder="1"/>
    <xf numFmtId="0" fontId="7" fillId="75" borderId="0" xfId="0" applyFont="1" applyFill="1" applyBorder="1"/>
    <xf numFmtId="0" fontId="115" fillId="75" borderId="8" xfId="0" applyFont="1" applyFill="1" applyBorder="1"/>
    <xf numFmtId="0" fontId="115" fillId="75" borderId="9" xfId="0" applyFont="1" applyFill="1" applyBorder="1"/>
    <xf numFmtId="0" fontId="116" fillId="75" borderId="9" xfId="0" applyFont="1" applyFill="1" applyBorder="1"/>
    <xf numFmtId="164" fontId="115" fillId="75" borderId="9" xfId="0" applyNumberFormat="1" applyFont="1" applyFill="1" applyBorder="1" applyAlignment="1">
      <alignment horizontal="left"/>
    </xf>
    <xf numFmtId="10" fontId="115" fillId="75" borderId="9" xfId="2" applyNumberFormat="1" applyFont="1" applyFill="1" applyBorder="1"/>
    <xf numFmtId="10" fontId="7" fillId="75" borderId="0" xfId="2" applyNumberFormat="1" applyFont="1" applyFill="1" applyBorder="1"/>
    <xf numFmtId="0" fontId="7" fillId="75" borderId="12" xfId="0" applyFont="1" applyFill="1" applyBorder="1"/>
    <xf numFmtId="1" fontId="7" fillId="3" borderId="0" xfId="0" applyNumberFormat="1" applyFont="1" applyFill="1" applyBorder="1"/>
    <xf numFmtId="3" fontId="7" fillId="0" borderId="12" xfId="0" applyNumberFormat="1" applyFont="1" applyBorder="1"/>
    <xf numFmtId="0" fontId="7" fillId="5" borderId="0" xfId="0" applyFont="1" applyFill="1"/>
    <xf numFmtId="10" fontId="117" fillId="5" borderId="0" xfId="2" applyNumberFormat="1" applyFont="1" applyFill="1"/>
    <xf numFmtId="165" fontId="7" fillId="5" borderId="0" xfId="2" applyNumberFormat="1" applyFont="1" applyFill="1"/>
    <xf numFmtId="0" fontId="5" fillId="75" borderId="13" xfId="0" applyFont="1" applyFill="1" applyBorder="1"/>
    <xf numFmtId="0" fontId="5" fillId="75" borderId="14" xfId="0" applyFont="1" applyFill="1" applyBorder="1"/>
    <xf numFmtId="0" fontId="7" fillId="75" borderId="14" xfId="0" applyFont="1" applyFill="1" applyBorder="1"/>
    <xf numFmtId="0" fontId="0" fillId="75" borderId="14" xfId="0" applyFill="1" applyBorder="1"/>
    <xf numFmtId="0" fontId="0" fillId="75" borderId="15" xfId="0" applyFill="1" applyBorder="1"/>
    <xf numFmtId="10" fontId="0" fillId="75" borderId="14" xfId="2" applyNumberFormat="1" applyFont="1" applyFill="1" applyBorder="1"/>
    <xf numFmtId="167" fontId="0" fillId="0" borderId="0" xfId="1" applyNumberFormat="1" applyFont="1" applyBorder="1"/>
    <xf numFmtId="164" fontId="115" fillId="76" borderId="0" xfId="0" applyNumberFormat="1" applyFont="1" applyFill="1"/>
    <xf numFmtId="164" fontId="5" fillId="5" borderId="7" xfId="0" applyNumberFormat="1" applyFont="1" applyFill="1" applyBorder="1"/>
    <xf numFmtId="1" fontId="0" fillId="0" borderId="0" xfId="0" applyNumberFormat="1" applyBorder="1"/>
    <xf numFmtId="0" fontId="7" fillId="0" borderId="72" xfId="0" applyFont="1" applyBorder="1" applyAlignment="1">
      <alignment textRotation="45"/>
    </xf>
    <xf numFmtId="0" fontId="7" fillId="0" borderId="72" xfId="0" applyFont="1" applyFill="1" applyBorder="1" applyAlignment="1">
      <alignment textRotation="45"/>
    </xf>
    <xf numFmtId="0" fontId="7" fillId="0" borderId="73" xfId="0" applyFont="1" applyFill="1" applyBorder="1" applyAlignment="1">
      <alignment textRotation="45"/>
    </xf>
    <xf numFmtId="0" fontId="0" fillId="0" borderId="74" xfId="0" applyBorder="1"/>
    <xf numFmtId="0" fontId="0" fillId="0" borderId="75" xfId="0" applyBorder="1"/>
    <xf numFmtId="0" fontId="7" fillId="0" borderId="74" xfId="0" applyFont="1" applyBorder="1"/>
    <xf numFmtId="0" fontId="0" fillId="0" borderId="43" xfId="0" applyBorder="1"/>
    <xf numFmtId="0" fontId="0" fillId="0" borderId="76" xfId="0" applyBorder="1"/>
    <xf numFmtId="0" fontId="7" fillId="0" borderId="71" xfId="0" applyFont="1" applyBorder="1"/>
    <xf numFmtId="3" fontId="0" fillId="0" borderId="0" xfId="0" applyNumberFormat="1"/>
    <xf numFmtId="0" fontId="0" fillId="0" borderId="0" xfId="0"/>
    <xf numFmtId="0" fontId="0" fillId="0" borderId="0" xfId="0"/>
    <xf numFmtId="3" fontId="0" fillId="0" borderId="0" xfId="0" applyNumberFormat="1"/>
    <xf numFmtId="0" fontId="0" fillId="77" borderId="77" xfId="0" applyFill="1" applyBorder="1"/>
    <xf numFmtId="0" fontId="4" fillId="77" borderId="78" xfId="0" applyFont="1" applyFill="1" applyBorder="1"/>
    <xf numFmtId="0" fontId="0" fillId="77" borderId="80" xfId="0" applyFill="1" applyBorder="1"/>
    <xf numFmtId="0" fontId="4" fillId="77" borderId="0" xfId="0" applyFont="1" applyFill="1" applyBorder="1"/>
    <xf numFmtId="0" fontId="7" fillId="77" borderId="80" xfId="0" applyFont="1" applyFill="1" applyBorder="1"/>
    <xf numFmtId="0" fontId="0" fillId="77" borderId="82" xfId="0" applyFill="1" applyBorder="1"/>
    <xf numFmtId="0" fontId="4" fillId="77" borderId="83" xfId="0" applyFont="1" applyFill="1" applyBorder="1"/>
    <xf numFmtId="0" fontId="5" fillId="77" borderId="78" xfId="0" applyFont="1" applyFill="1" applyBorder="1"/>
    <xf numFmtId="0" fontId="0" fillId="77" borderId="78" xfId="0" applyFill="1" applyBorder="1"/>
    <xf numFmtId="0" fontId="0" fillId="77" borderId="79" xfId="0" applyFill="1" applyBorder="1"/>
    <xf numFmtId="0" fontId="5" fillId="77" borderId="0" xfId="0" applyFont="1" applyFill="1" applyBorder="1"/>
    <xf numFmtId="0" fontId="0" fillId="77" borderId="0" xfId="0" applyFill="1" applyBorder="1"/>
    <xf numFmtId="0" fontId="0" fillId="77" borderId="81" xfId="0" applyFill="1" applyBorder="1"/>
    <xf numFmtId="0" fontId="7" fillId="77" borderId="81" xfId="0" applyFont="1" applyFill="1" applyBorder="1"/>
    <xf numFmtId="0" fontId="0" fillId="77" borderId="84" xfId="0" applyFill="1" applyBorder="1"/>
    <xf numFmtId="0" fontId="5" fillId="77" borderId="83" xfId="0" applyFont="1" applyFill="1" applyBorder="1"/>
    <xf numFmtId="0" fontId="0" fillId="77" borderId="83" xfId="0" applyFill="1" applyBorder="1"/>
    <xf numFmtId="0" fontId="5" fillId="77" borderId="14" xfId="0" applyFont="1" applyFill="1" applyBorder="1"/>
    <xf numFmtId="0" fontId="7" fillId="77" borderId="14" xfId="0" applyFont="1" applyFill="1" applyBorder="1"/>
    <xf numFmtId="0" fontId="0" fillId="77" borderId="14" xfId="0" applyFill="1" applyBorder="1"/>
    <xf numFmtId="0" fontId="7" fillId="77" borderId="0" xfId="0" applyFont="1" applyFill="1" applyBorder="1"/>
    <xf numFmtId="0" fontId="118" fillId="77" borderId="0" xfId="0" applyFont="1" applyFill="1" applyBorder="1"/>
    <xf numFmtId="164" fontId="5" fillId="5" borderId="0" xfId="0" applyNumberFormat="1" applyFont="1" applyFill="1" applyBorder="1"/>
    <xf numFmtId="0" fontId="4" fillId="78" borderId="8" xfId="0" applyFont="1" applyFill="1" applyBorder="1"/>
    <xf numFmtId="0" fontId="5" fillId="78" borderId="9" xfId="0" applyFont="1" applyFill="1" applyBorder="1"/>
    <xf numFmtId="0" fontId="7" fillId="78" borderId="9" xfId="0" applyFont="1" applyFill="1" applyBorder="1"/>
    <xf numFmtId="0" fontId="7" fillId="78" borderId="10" xfId="0" applyFont="1" applyFill="1" applyBorder="1"/>
    <xf numFmtId="0" fontId="4" fillId="78" borderId="11" xfId="0" applyFont="1" applyFill="1" applyBorder="1"/>
    <xf numFmtId="0" fontId="4" fillId="78" borderId="13" xfId="0" applyFont="1" applyFill="1" applyBorder="1"/>
    <xf numFmtId="0" fontId="5" fillId="78" borderId="14" xfId="0" applyFont="1" applyFill="1" applyBorder="1"/>
    <xf numFmtId="0" fontId="0" fillId="78" borderId="14" xfId="0" applyFill="1" applyBorder="1"/>
    <xf numFmtId="0" fontId="0" fillId="78" borderId="15" xfId="0" applyFill="1" applyBorder="1"/>
    <xf numFmtId="0" fontId="0" fillId="78" borderId="0" xfId="0" applyFill="1" applyBorder="1"/>
    <xf numFmtId="0" fontId="5" fillId="78" borderId="0" xfId="0" applyFont="1" applyFill="1" applyBorder="1"/>
    <xf numFmtId="0" fontId="0" fillId="78" borderId="12" xfId="0" applyFill="1" applyBorder="1"/>
    <xf numFmtId="0" fontId="7" fillId="78" borderId="12" xfId="0" applyFont="1" applyFill="1" applyBorder="1"/>
    <xf numFmtId="0" fontId="7" fillId="78" borderId="0" xfId="0" applyFont="1" applyFill="1" applyBorder="1"/>
    <xf numFmtId="3" fontId="0" fillId="0" borderId="0" xfId="0" applyNumberFormat="1"/>
    <xf numFmtId="0" fontId="0" fillId="0" borderId="0" xfId="0"/>
    <xf numFmtId="0" fontId="3" fillId="0" borderId="0" xfId="0" applyFont="1"/>
    <xf numFmtId="3" fontId="3" fillId="0" borderId="0" xfId="0" applyNumberFormat="1" applyFont="1"/>
    <xf numFmtId="3" fontId="5" fillId="0" borderId="85" xfId="0" applyNumberFormat="1" applyFont="1" applyBorder="1"/>
    <xf numFmtId="3" fontId="0" fillId="0" borderId="86" xfId="0" applyNumberFormat="1" applyBorder="1"/>
    <xf numFmtId="0" fontId="0" fillId="0" borderId="87" xfId="0" applyBorder="1"/>
    <xf numFmtId="3" fontId="0" fillId="0" borderId="88" xfId="0" applyNumberFormat="1" applyBorder="1"/>
    <xf numFmtId="3" fontId="0" fillId="0" borderId="90" xfId="0" applyNumberFormat="1" applyBorder="1"/>
    <xf numFmtId="189" fontId="0" fillId="3" borderId="0" xfId="0" applyNumberFormat="1" applyFill="1" applyBorder="1"/>
    <xf numFmtId="0" fontId="3" fillId="0" borderId="0" xfId="0" applyFont="1" applyFill="1" applyBorder="1"/>
    <xf numFmtId="164" fontId="3" fillId="0" borderId="0" xfId="0" applyNumberFormat="1" applyFont="1"/>
    <xf numFmtId="0" fontId="3" fillId="74" borderId="0" xfId="0" applyFont="1" applyFill="1" applyBorder="1"/>
    <xf numFmtId="1" fontId="0" fillId="74" borderId="0" xfId="0" applyNumberFormat="1" applyFill="1" applyBorder="1"/>
    <xf numFmtId="0" fontId="3" fillId="74" borderId="66" xfId="0" applyFont="1" applyFill="1" applyBorder="1"/>
    <xf numFmtId="0" fontId="3" fillId="0" borderId="74" xfId="0" applyFont="1" applyBorder="1"/>
    <xf numFmtId="0" fontId="0" fillId="78" borderId="8" xfId="0" applyFill="1" applyBorder="1"/>
    <xf numFmtId="0" fontId="0" fillId="78" borderId="9" xfId="0" applyFill="1" applyBorder="1"/>
    <xf numFmtId="0" fontId="0" fillId="78" borderId="10" xfId="0" applyFill="1" applyBorder="1"/>
    <xf numFmtId="0" fontId="0" fillId="78" borderId="11" xfId="0" applyFill="1" applyBorder="1"/>
    <xf numFmtId="0" fontId="3" fillId="78" borderId="0" xfId="0" applyFont="1" applyFill="1" applyBorder="1"/>
    <xf numFmtId="0" fontId="0" fillId="78" borderId="13" xfId="0" applyFill="1" applyBorder="1"/>
    <xf numFmtId="9" fontId="0" fillId="78" borderId="14" xfId="0" applyNumberFormat="1" applyFill="1" applyBorder="1"/>
    <xf numFmtId="0" fontId="3" fillId="74" borderId="16" xfId="0" applyFont="1" applyFill="1" applyBorder="1" applyAlignment="1">
      <alignment horizontal="center" vertical="center" wrapText="1"/>
    </xf>
    <xf numFmtId="0" fontId="0" fillId="74" borderId="16" xfId="0" applyFill="1" applyBorder="1" applyAlignment="1">
      <alignment horizontal="center"/>
    </xf>
    <xf numFmtId="167" fontId="0" fillId="74" borderId="16" xfId="1" applyNumberFormat="1" applyFont="1" applyFill="1" applyBorder="1" applyAlignment="1">
      <alignment horizontal="center"/>
    </xf>
    <xf numFmtId="9" fontId="5" fillId="74" borderId="16" xfId="2" applyFont="1" applyFill="1" applyBorder="1" applyAlignment="1">
      <alignment horizontal="center"/>
    </xf>
    <xf numFmtId="0" fontId="3" fillId="74" borderId="16" xfId="0" applyFont="1" applyFill="1" applyBorder="1" applyAlignment="1">
      <alignment horizontal="center"/>
    </xf>
    <xf numFmtId="0" fontId="0" fillId="78" borderId="0" xfId="0" applyFill="1" applyBorder="1" applyAlignment="1">
      <alignment horizontal="center"/>
    </xf>
    <xf numFmtId="0" fontId="5" fillId="74" borderId="16" xfId="0" applyFont="1" applyFill="1" applyBorder="1" applyAlignment="1">
      <alignment horizontal="center"/>
    </xf>
    <xf numFmtId="0" fontId="5" fillId="74" borderId="16" xfId="0" applyFont="1" applyFill="1" applyBorder="1" applyAlignment="1">
      <alignment horizontal="center" vertical="center" wrapText="1"/>
    </xf>
    <xf numFmtId="10" fontId="5" fillId="74" borderId="61" xfId="2" applyNumberFormat="1" applyFont="1" applyFill="1" applyBorder="1"/>
    <xf numFmtId="10" fontId="5" fillId="74" borderId="69" xfId="2" applyNumberFormat="1" applyFont="1" applyFill="1" applyBorder="1"/>
    <xf numFmtId="0" fontId="122" fillId="0" borderId="0" xfId="0" applyFont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9" fontId="0" fillId="74" borderId="0" xfId="2" applyFont="1" applyFill="1" applyBorder="1"/>
    <xf numFmtId="189" fontId="0" fillId="0" borderId="0" xfId="0" applyNumberFormat="1" applyBorder="1"/>
    <xf numFmtId="0" fontId="3" fillId="0" borderId="94" xfId="0" applyFont="1" applyBorder="1" applyAlignment="1">
      <alignment vertical="top" wrapText="1"/>
    </xf>
    <xf numFmtId="0" fontId="0" fillId="74" borderId="60" xfId="0" applyFill="1" applyBorder="1"/>
    <xf numFmtId="0" fontId="0" fillId="74" borderId="63" xfId="0" applyFill="1" applyBorder="1"/>
    <xf numFmtId="0" fontId="0" fillId="74" borderId="65" xfId="0" applyFill="1" applyBorder="1"/>
    <xf numFmtId="0" fontId="0" fillId="74" borderId="68" xfId="0" applyFill="1" applyBorder="1"/>
    <xf numFmtId="9" fontId="0" fillId="74" borderId="68" xfId="0" applyNumberFormat="1" applyFill="1" applyBorder="1"/>
    <xf numFmtId="9" fontId="0" fillId="74" borderId="63" xfId="0" applyNumberFormat="1" applyFill="1" applyBorder="1"/>
    <xf numFmtId="9" fontId="0" fillId="74" borderId="65" xfId="0" applyNumberFormat="1" applyFill="1" applyBorder="1"/>
    <xf numFmtId="0" fontId="0" fillId="0" borderId="0" xfId="0"/>
    <xf numFmtId="3" fontId="7" fillId="0" borderId="0" xfId="2" applyNumberFormat="1" applyFont="1" applyBorder="1"/>
    <xf numFmtId="3" fontId="0" fillId="0" borderId="0" xfId="0" applyNumberFormat="1"/>
    <xf numFmtId="9" fontId="0" fillId="77" borderId="0" xfId="2" applyFont="1" applyFill="1" applyBorder="1"/>
    <xf numFmtId="1" fontId="0" fillId="77" borderId="81" xfId="0" applyNumberFormat="1" applyFill="1" applyBorder="1"/>
    <xf numFmtId="0" fontId="0" fillId="0" borderId="0" xfId="0" applyAlignment="1">
      <alignment wrapText="1"/>
    </xf>
    <xf numFmtId="0" fontId="75" fillId="0" borderId="94" xfId="0" applyFont="1" applyBorder="1" applyAlignment="1">
      <alignment vertical="top" wrapText="1"/>
    </xf>
    <xf numFmtId="0" fontId="0" fillId="0" borderId="0" xfId="0" applyAlignment="1">
      <alignment horizontal="center" vertical="top"/>
    </xf>
    <xf numFmtId="0" fontId="0" fillId="77" borderId="0" xfId="0" applyFill="1" applyBorder="1" applyAlignment="1">
      <alignment horizontal="center"/>
    </xf>
    <xf numFmtId="0" fontId="0" fillId="0" borderId="93" xfId="0" applyBorder="1" applyAlignment="1">
      <alignment horizontal="center" vertical="center"/>
    </xf>
    <xf numFmtId="0" fontId="3" fillId="0" borderId="93" xfId="0" applyFont="1" applyBorder="1" applyAlignment="1">
      <alignment horizontal="center" vertical="center" wrapText="1"/>
    </xf>
    <xf numFmtId="0" fontId="0" fillId="75" borderId="82" xfId="0" applyFill="1" applyBorder="1"/>
    <xf numFmtId="0" fontId="0" fillId="75" borderId="83" xfId="0" applyFill="1" applyBorder="1"/>
    <xf numFmtId="9" fontId="0" fillId="75" borderId="83" xfId="2" applyFont="1" applyFill="1" applyBorder="1"/>
    <xf numFmtId="9" fontId="0" fillId="75" borderId="84" xfId="2" applyFont="1" applyFill="1" applyBorder="1"/>
    <xf numFmtId="0" fontId="0" fillId="75" borderId="79" xfId="0" applyFill="1" applyBorder="1"/>
    <xf numFmtId="0" fontId="0" fillId="75" borderId="81" xfId="0" applyFill="1" applyBorder="1"/>
    <xf numFmtId="0" fontId="3" fillId="75" borderId="81" xfId="0" applyFont="1" applyFill="1" applyBorder="1" applyAlignment="1">
      <alignment horizontal="center" vertical="center" wrapText="1"/>
    </xf>
    <xf numFmtId="0" fontId="7" fillId="75" borderId="81" xfId="0" applyFont="1" applyFill="1" applyBorder="1" applyAlignment="1">
      <alignment horizontal="center" vertical="center"/>
    </xf>
    <xf numFmtId="0" fontId="0" fillId="75" borderId="81" xfId="0" applyFill="1" applyBorder="1" applyAlignment="1">
      <alignment horizontal="center" vertical="center"/>
    </xf>
    <xf numFmtId="9" fontId="0" fillId="75" borderId="81" xfId="2" applyFont="1" applyFill="1" applyBorder="1"/>
    <xf numFmtId="0" fontId="75" fillId="75" borderId="81" xfId="0" applyFont="1" applyFill="1" applyBorder="1" applyAlignment="1">
      <alignment horizontal="center" vertical="center" wrapText="1"/>
    </xf>
    <xf numFmtId="0" fontId="0" fillId="75" borderId="77" xfId="0" applyFill="1" applyBorder="1"/>
    <xf numFmtId="0" fontId="0" fillId="75" borderId="78" xfId="0" applyFill="1" applyBorder="1"/>
    <xf numFmtId="0" fontId="0" fillId="75" borderId="80" xfId="0" applyFill="1" applyBorder="1"/>
    <xf numFmtId="0" fontId="7" fillId="75" borderId="80" xfId="0" applyFont="1" applyFill="1" applyBorder="1"/>
    <xf numFmtId="0" fontId="7" fillId="75" borderId="0" xfId="0" applyFont="1" applyFill="1" applyBorder="1" applyAlignment="1">
      <alignment horizontal="center" vertical="center"/>
    </xf>
    <xf numFmtId="9" fontId="0" fillId="75" borderId="0" xfId="2" applyFont="1" applyFill="1" applyBorder="1"/>
    <xf numFmtId="0" fontId="0" fillId="75" borderId="0" xfId="0" applyFill="1" applyBorder="1" applyAlignment="1">
      <alignment horizontal="center" vertical="center"/>
    </xf>
    <xf numFmtId="9" fontId="0" fillId="75" borderId="78" xfId="2" applyFont="1" applyFill="1" applyBorder="1"/>
    <xf numFmtId="0" fontId="0" fillId="75" borderId="78" xfId="0" applyFill="1" applyBorder="1" applyAlignment="1">
      <alignment horizontal="center" vertical="center"/>
    </xf>
    <xf numFmtId="0" fontId="0" fillId="75" borderId="79" xfId="0" applyFill="1" applyBorder="1" applyAlignment="1">
      <alignment horizontal="center" vertical="center"/>
    </xf>
    <xf numFmtId="0" fontId="0" fillId="75" borderId="83" xfId="0" applyFill="1" applyBorder="1" applyAlignment="1">
      <alignment horizontal="center" vertical="center"/>
    </xf>
    <xf numFmtId="0" fontId="0" fillId="75" borderId="84" xfId="0" applyFill="1" applyBorder="1" applyAlignment="1">
      <alignment horizontal="center" vertical="center"/>
    </xf>
    <xf numFmtId="0" fontId="3" fillId="75" borderId="84" xfId="0" applyFont="1" applyFill="1" applyBorder="1" applyAlignment="1">
      <alignment horizontal="center" vertical="center" wrapText="1"/>
    </xf>
    <xf numFmtId="0" fontId="3" fillId="75" borderId="79" xfId="0" applyFont="1" applyFill="1" applyBorder="1" applyAlignment="1">
      <alignment horizontal="center" vertical="center" wrapText="1"/>
    </xf>
    <xf numFmtId="0" fontId="0" fillId="77" borderId="103" xfId="0" applyFill="1" applyBorder="1"/>
    <xf numFmtId="0" fontId="0" fillId="75" borderId="84" xfId="0" applyFill="1" applyBorder="1"/>
    <xf numFmtId="0" fontId="0" fillId="77" borderId="14" xfId="0" applyFill="1" applyBorder="1" applyAlignment="1">
      <alignment horizontal="center"/>
    </xf>
    <xf numFmtId="0" fontId="0" fillId="74" borderId="97" xfId="0" applyFill="1" applyBorder="1"/>
    <xf numFmtId="0" fontId="0" fillId="79" borderId="80" xfId="0" applyFill="1" applyBorder="1"/>
    <xf numFmtId="0" fontId="0" fillId="79" borderId="82" xfId="0" applyFill="1" applyBorder="1"/>
    <xf numFmtId="0" fontId="5" fillId="79" borderId="78" xfId="0" applyFont="1" applyFill="1" applyBorder="1" applyAlignment="1">
      <alignment horizontal="center"/>
    </xf>
    <xf numFmtId="0" fontId="5" fillId="79" borderId="0" xfId="0" applyFont="1" applyFill="1" applyBorder="1" applyAlignment="1">
      <alignment horizontal="center"/>
    </xf>
    <xf numFmtId="0" fontId="5" fillId="79" borderId="81" xfId="0" applyFont="1" applyFill="1" applyBorder="1" applyAlignment="1">
      <alignment horizontal="center"/>
    </xf>
    <xf numFmtId="3" fontId="3" fillId="79" borderId="0" xfId="0" applyNumberFormat="1" applyFont="1" applyFill="1" applyBorder="1"/>
    <xf numFmtId="0" fontId="0" fillId="79" borderId="0" xfId="0" applyFill="1" applyBorder="1"/>
    <xf numFmtId="3" fontId="3" fillId="79" borderId="81" xfId="0" applyNumberFormat="1" applyFont="1" applyFill="1" applyBorder="1"/>
    <xf numFmtId="165" fontId="5" fillId="79" borderId="83" xfId="2" applyNumberFormat="1" applyFont="1" applyFill="1" applyBorder="1"/>
    <xf numFmtId="165" fontId="5" fillId="79" borderId="84" xfId="2" applyNumberFormat="1" applyFont="1" applyFill="1" applyBorder="1"/>
    <xf numFmtId="0" fontId="3" fillId="79" borderId="93" xfId="0" applyFont="1" applyFill="1" applyBorder="1" applyAlignment="1">
      <alignment horizontal="center" vertical="center" wrapText="1"/>
    </xf>
    <xf numFmtId="0" fontId="3" fillId="0" borderId="93" xfId="0" applyFont="1" applyBorder="1" applyAlignment="1">
      <alignment vertical="top" wrapText="1"/>
    </xf>
    <xf numFmtId="0" fontId="3" fillId="0" borderId="93" xfId="0" applyFont="1" applyBorder="1" applyAlignment="1">
      <alignment wrapText="1"/>
    </xf>
    <xf numFmtId="9" fontId="0" fillId="74" borderId="61" xfId="2" applyFont="1" applyFill="1" applyBorder="1" applyAlignment="1">
      <alignment horizontal="center"/>
    </xf>
    <xf numFmtId="9" fontId="0" fillId="74" borderId="62" xfId="2" applyFont="1" applyFill="1" applyBorder="1" applyAlignment="1">
      <alignment horizontal="center"/>
    </xf>
    <xf numFmtId="9" fontId="0" fillId="74" borderId="0" xfId="2" applyFont="1" applyFill="1" applyBorder="1" applyAlignment="1">
      <alignment horizontal="center"/>
    </xf>
    <xf numFmtId="9" fontId="0" fillId="74" borderId="64" xfId="2" applyFont="1" applyFill="1" applyBorder="1" applyAlignment="1">
      <alignment horizontal="center"/>
    </xf>
    <xf numFmtId="9" fontId="0" fillId="74" borderId="0" xfId="2" applyNumberFormat="1" applyFont="1" applyFill="1" applyBorder="1" applyAlignment="1">
      <alignment horizontal="center"/>
    </xf>
    <xf numFmtId="9" fontId="0" fillId="74" borderId="64" xfId="2" applyNumberFormat="1" applyFont="1" applyFill="1" applyBorder="1" applyAlignment="1">
      <alignment horizontal="center"/>
    </xf>
    <xf numFmtId="9" fontId="0" fillId="74" borderId="66" xfId="2" applyFont="1" applyFill="1" applyBorder="1" applyAlignment="1">
      <alignment horizontal="center"/>
    </xf>
    <xf numFmtId="9" fontId="0" fillId="74" borderId="67" xfId="2" applyFont="1" applyFill="1" applyBorder="1" applyAlignment="1">
      <alignment horizontal="center"/>
    </xf>
    <xf numFmtId="9" fontId="0" fillId="74" borderId="66" xfId="2" applyNumberFormat="1" applyFont="1" applyFill="1" applyBorder="1" applyAlignment="1">
      <alignment horizontal="center"/>
    </xf>
    <xf numFmtId="9" fontId="0" fillId="74" borderId="67" xfId="2" applyNumberFormat="1" applyFont="1" applyFill="1" applyBorder="1" applyAlignment="1">
      <alignment horizontal="center"/>
    </xf>
    <xf numFmtId="9" fontId="7" fillId="75" borderId="0" xfId="2" applyFont="1" applyFill="1" applyBorder="1" applyAlignment="1">
      <alignment horizontal="center"/>
    </xf>
    <xf numFmtId="9" fontId="0" fillId="75" borderId="0" xfId="2" applyFont="1" applyFill="1" applyBorder="1" applyAlignment="1">
      <alignment horizontal="center"/>
    </xf>
    <xf numFmtId="9" fontId="0" fillId="74" borderId="60" xfId="2" applyFont="1" applyFill="1" applyBorder="1" applyAlignment="1">
      <alignment horizontal="center"/>
    </xf>
    <xf numFmtId="9" fontId="0" fillId="74" borderId="63" xfId="2" applyNumberFormat="1" applyFont="1" applyFill="1" applyBorder="1" applyAlignment="1">
      <alignment horizontal="center"/>
    </xf>
    <xf numFmtId="9" fontId="0" fillId="74" borderId="65" xfId="2" applyNumberFormat="1" applyFont="1" applyFill="1" applyBorder="1" applyAlignment="1">
      <alignment horizontal="center"/>
    </xf>
    <xf numFmtId="9" fontId="0" fillId="75" borderId="83" xfId="2" applyFont="1" applyFill="1" applyBorder="1" applyAlignment="1">
      <alignment horizontal="center"/>
    </xf>
    <xf numFmtId="9" fontId="0" fillId="77" borderId="0" xfId="2" applyFont="1" applyFill="1" applyBorder="1" applyAlignment="1">
      <alignment horizontal="center"/>
    </xf>
    <xf numFmtId="9" fontId="0" fillId="75" borderId="78" xfId="2" applyFont="1" applyFill="1" applyBorder="1" applyAlignment="1">
      <alignment horizontal="center"/>
    </xf>
    <xf numFmtId="9" fontId="0" fillId="74" borderId="69" xfId="2" applyFont="1" applyFill="1" applyBorder="1" applyAlignment="1">
      <alignment horizontal="center"/>
    </xf>
    <xf numFmtId="9" fontId="0" fillId="74" borderId="70" xfId="2" applyFont="1" applyFill="1" applyBorder="1" applyAlignment="1">
      <alignment horizontal="center"/>
    </xf>
    <xf numFmtId="9" fontId="0" fillId="74" borderId="68" xfId="2" applyNumberFormat="1" applyFont="1" applyFill="1" applyBorder="1" applyAlignment="1">
      <alignment horizontal="center"/>
    </xf>
    <xf numFmtId="9" fontId="0" fillId="74" borderId="69" xfId="2" applyNumberFormat="1" applyFont="1" applyFill="1" applyBorder="1" applyAlignment="1">
      <alignment horizontal="center"/>
    </xf>
    <xf numFmtId="9" fontId="0" fillId="74" borderId="70" xfId="2" applyNumberFormat="1" applyFont="1" applyFill="1" applyBorder="1" applyAlignment="1">
      <alignment horizontal="center"/>
    </xf>
    <xf numFmtId="9" fontId="0" fillId="74" borderId="60" xfId="2" applyNumberFormat="1" applyFont="1" applyFill="1" applyBorder="1" applyAlignment="1">
      <alignment horizontal="center"/>
    </xf>
    <xf numFmtId="9" fontId="0" fillId="74" borderId="61" xfId="2" applyNumberFormat="1" applyFont="1" applyFill="1" applyBorder="1" applyAlignment="1">
      <alignment horizontal="center"/>
    </xf>
    <xf numFmtId="9" fontId="0" fillId="74" borderId="62" xfId="2" applyNumberFormat="1" applyFont="1" applyFill="1" applyBorder="1" applyAlignment="1">
      <alignment horizontal="center"/>
    </xf>
    <xf numFmtId="0" fontId="7" fillId="0" borderId="5" xfId="0" applyFont="1" applyBorder="1"/>
    <xf numFmtId="0" fontId="0" fillId="0" borderId="104" xfId="0" applyBorder="1"/>
    <xf numFmtId="0" fontId="0" fillId="0" borderId="6" xfId="0" applyBorder="1"/>
    <xf numFmtId="0" fontId="0" fillId="0" borderId="71" xfId="0" applyBorder="1"/>
    <xf numFmtId="0" fontId="0" fillId="0" borderId="73" xfId="0" applyBorder="1"/>
    <xf numFmtId="0" fontId="0" fillId="0" borderId="105" xfId="0" applyBorder="1"/>
    <xf numFmtId="175" fontId="0" fillId="0" borderId="76" xfId="0" applyNumberFormat="1" applyBorder="1"/>
    <xf numFmtId="175" fontId="0" fillId="0" borderId="73" xfId="0" applyNumberFormat="1" applyBorder="1"/>
    <xf numFmtId="4" fontId="0" fillId="0" borderId="72" xfId="0" applyNumberFormat="1" applyBorder="1"/>
    <xf numFmtId="3" fontId="0" fillId="0" borderId="75" xfId="0" applyNumberFormat="1" applyBorder="1"/>
    <xf numFmtId="0" fontId="3" fillId="0" borderId="71" xfId="0" applyFont="1" applyBorder="1"/>
    <xf numFmtId="10" fontId="0" fillId="0" borderId="72" xfId="2" applyNumberFormat="1" applyFont="1" applyBorder="1"/>
    <xf numFmtId="10" fontId="0" fillId="0" borderId="72" xfId="0" applyNumberFormat="1" applyBorder="1"/>
    <xf numFmtId="0" fontId="0" fillId="0" borderId="72" xfId="0" applyBorder="1" applyAlignment="1">
      <alignment horizontal="center"/>
    </xf>
    <xf numFmtId="10" fontId="0" fillId="0" borderId="0" xfId="0" applyNumberFormat="1" applyBorder="1"/>
    <xf numFmtId="0" fontId="3" fillId="0" borderId="105" xfId="0" applyFont="1" applyBorder="1"/>
    <xf numFmtId="10" fontId="0" fillId="0" borderId="43" xfId="2" applyNumberFormat="1" applyFont="1" applyBorder="1"/>
    <xf numFmtId="10" fontId="0" fillId="0" borderId="43" xfId="0" applyNumberFormat="1" applyBorder="1"/>
    <xf numFmtId="0" fontId="0" fillId="0" borderId="43" xfId="0" applyBorder="1" applyAlignment="1">
      <alignment horizontal="center"/>
    </xf>
    <xf numFmtId="0" fontId="125" fillId="74" borderId="8" xfId="0" applyFont="1" applyFill="1" applyBorder="1" applyAlignment="1">
      <alignment horizontal="center" vertical="center" wrapText="1"/>
    </xf>
    <xf numFmtId="0" fontId="125" fillId="74" borderId="9" xfId="0" applyFont="1" applyFill="1" applyBorder="1" applyAlignment="1">
      <alignment horizontal="center" vertical="center" wrapText="1"/>
    </xf>
    <xf numFmtId="0" fontId="125" fillId="74" borderId="11" xfId="0" applyFont="1" applyFill="1" applyBorder="1" applyAlignment="1">
      <alignment horizontal="center" vertical="center" wrapText="1"/>
    </xf>
    <xf numFmtId="0" fontId="125" fillId="74" borderId="0" xfId="0" applyFont="1" applyFill="1" applyBorder="1" applyAlignment="1">
      <alignment horizontal="center" vertical="center" wrapText="1"/>
    </xf>
    <xf numFmtId="0" fontId="125" fillId="74" borderId="13" xfId="0" applyFont="1" applyFill="1" applyBorder="1" applyAlignment="1">
      <alignment horizontal="center" vertical="center" wrapText="1"/>
    </xf>
    <xf numFmtId="0" fontId="125" fillId="74" borderId="14" xfId="0" applyFont="1" applyFill="1" applyBorder="1" applyAlignment="1">
      <alignment horizontal="center" vertical="center" wrapText="1"/>
    </xf>
    <xf numFmtId="164" fontId="119" fillId="74" borderId="9" xfId="0" applyNumberFormat="1" applyFont="1" applyFill="1" applyBorder="1" applyAlignment="1">
      <alignment horizontal="center" vertical="center"/>
    </xf>
    <xf numFmtId="164" fontId="119" fillId="74" borderId="10" xfId="0" applyNumberFormat="1" applyFont="1" applyFill="1" applyBorder="1" applyAlignment="1">
      <alignment horizontal="center" vertical="center"/>
    </xf>
    <xf numFmtId="164" fontId="119" fillId="74" borderId="0" xfId="0" applyNumberFormat="1" applyFont="1" applyFill="1" applyBorder="1" applyAlignment="1">
      <alignment horizontal="center" vertical="center"/>
    </xf>
    <xf numFmtId="164" fontId="119" fillId="74" borderId="12" xfId="0" applyNumberFormat="1" applyFont="1" applyFill="1" applyBorder="1" applyAlignment="1">
      <alignment horizontal="center" vertical="center"/>
    </xf>
    <xf numFmtId="164" fontId="119" fillId="74" borderId="14" xfId="0" applyNumberFormat="1" applyFont="1" applyFill="1" applyBorder="1" applyAlignment="1">
      <alignment horizontal="center" vertical="center"/>
    </xf>
    <xf numFmtId="164" fontId="119" fillId="74" borderId="15" xfId="0" applyNumberFormat="1" applyFont="1" applyFill="1" applyBorder="1" applyAlignment="1">
      <alignment horizontal="center" vertical="center"/>
    </xf>
    <xf numFmtId="0" fontId="124" fillId="74" borderId="98" xfId="0" applyFont="1" applyFill="1" applyBorder="1" applyAlignment="1">
      <alignment horizontal="center" vertical="center"/>
    </xf>
    <xf numFmtId="0" fontId="124" fillId="74" borderId="99" xfId="0" applyFont="1" applyFill="1" applyBorder="1" applyAlignment="1">
      <alignment horizontal="center" vertical="center"/>
    </xf>
    <xf numFmtId="0" fontId="5" fillId="0" borderId="100" xfId="0" applyFont="1" applyBorder="1" applyAlignment="1">
      <alignment horizontal="center" vertical="center" wrapText="1"/>
    </xf>
    <xf numFmtId="0" fontId="5" fillId="0" borderId="101" xfId="0" applyFont="1" applyBorder="1" applyAlignment="1">
      <alignment horizontal="center" vertical="center" wrapText="1"/>
    </xf>
    <xf numFmtId="0" fontId="5" fillId="0" borderId="102" xfId="0" applyFont="1" applyBorder="1" applyAlignment="1">
      <alignment horizontal="center" vertical="center" wrapText="1"/>
    </xf>
    <xf numFmtId="0" fontId="3" fillId="79" borderId="94" xfId="0" applyFont="1" applyFill="1" applyBorder="1" applyAlignment="1">
      <alignment horizontal="center" vertical="center" wrapText="1"/>
    </xf>
    <xf numFmtId="0" fontId="3" fillId="79" borderId="95" xfId="0" applyFont="1" applyFill="1" applyBorder="1" applyAlignment="1">
      <alignment horizontal="center" vertical="center" wrapText="1"/>
    </xf>
    <xf numFmtId="0" fontId="3" fillId="79" borderId="96" xfId="0" applyFont="1" applyFill="1" applyBorder="1" applyAlignment="1">
      <alignment horizontal="center" vertical="center" wrapText="1"/>
    </xf>
    <xf numFmtId="0" fontId="3" fillId="0" borderId="94" xfId="0" applyFont="1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3" fillId="0" borderId="96" xfId="0" applyFont="1" applyBorder="1" applyAlignment="1">
      <alignment horizontal="center" vertical="center" wrapText="1"/>
    </xf>
    <xf numFmtId="0" fontId="5" fillId="79" borderId="78" xfId="0" applyFont="1" applyFill="1" applyBorder="1" applyAlignment="1">
      <alignment horizontal="center"/>
    </xf>
    <xf numFmtId="0" fontId="5" fillId="79" borderId="79" xfId="0" applyFont="1" applyFill="1" applyBorder="1" applyAlignment="1">
      <alignment horizontal="center"/>
    </xf>
    <xf numFmtId="0" fontId="0" fillId="0" borderId="94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75" fillId="0" borderId="94" xfId="0" applyFont="1" applyBorder="1" applyAlignment="1">
      <alignment horizontal="center" vertical="center" wrapText="1"/>
    </xf>
    <xf numFmtId="0" fontId="75" fillId="0" borderId="95" xfId="0" applyFont="1" applyBorder="1" applyAlignment="1">
      <alignment horizontal="center" vertical="center" wrapText="1"/>
    </xf>
    <xf numFmtId="0" fontId="75" fillId="0" borderId="96" xfId="0" applyFont="1" applyBorder="1" applyAlignment="1">
      <alignment horizontal="center" vertical="center" wrapText="1"/>
    </xf>
    <xf numFmtId="0" fontId="0" fillId="0" borderId="95" xfId="0" applyBorder="1" applyAlignment="1">
      <alignment horizontal="center" vertical="center"/>
    </xf>
    <xf numFmtId="0" fontId="121" fillId="75" borderId="9" xfId="0" applyFont="1" applyFill="1" applyBorder="1" applyAlignment="1">
      <alignment horizontal="center" vertical="center"/>
    </xf>
    <xf numFmtId="0" fontId="121" fillId="75" borderId="0" xfId="0" applyFont="1" applyFill="1" applyBorder="1" applyAlignment="1">
      <alignment horizontal="center" vertical="center"/>
    </xf>
    <xf numFmtId="0" fontId="121" fillId="75" borderId="14" xfId="0" applyFont="1" applyFill="1" applyBorder="1" applyAlignment="1">
      <alignment horizontal="center" vertical="center"/>
    </xf>
    <xf numFmtId="0" fontId="123" fillId="75" borderId="8" xfId="0" applyFont="1" applyFill="1" applyBorder="1" applyAlignment="1">
      <alignment horizontal="center" vertical="center"/>
    </xf>
    <xf numFmtId="0" fontId="123" fillId="75" borderId="9" xfId="0" applyFont="1" applyFill="1" applyBorder="1" applyAlignment="1">
      <alignment horizontal="center" vertical="center"/>
    </xf>
    <xf numFmtId="0" fontId="123" fillId="75" borderId="11" xfId="0" applyFont="1" applyFill="1" applyBorder="1" applyAlignment="1">
      <alignment horizontal="center" vertical="center"/>
    </xf>
    <xf numFmtId="0" fontId="123" fillId="75" borderId="0" xfId="0" applyFont="1" applyFill="1" applyBorder="1" applyAlignment="1">
      <alignment horizontal="center" vertical="center"/>
    </xf>
    <xf numFmtId="0" fontId="123" fillId="75" borderId="13" xfId="0" applyFont="1" applyFill="1" applyBorder="1" applyAlignment="1">
      <alignment horizontal="center" vertical="center"/>
    </xf>
    <xf numFmtId="0" fontId="123" fillId="75" borderId="14" xfId="0" applyFont="1" applyFill="1" applyBorder="1" applyAlignment="1">
      <alignment horizontal="center" vertical="center"/>
    </xf>
    <xf numFmtId="0" fontId="0" fillId="0" borderId="0" xfId="0"/>
    <xf numFmtId="3" fontId="0" fillId="0" borderId="0" xfId="0" applyNumberForma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7" fillId="0" borderId="0" xfId="2" applyNumberFormat="1" applyFont="1" applyBorder="1"/>
    <xf numFmtId="3" fontId="0" fillId="0" borderId="0" xfId="0" applyNumberFormat="1" applyBorder="1" applyAlignment="1">
      <alignment horizontal="center"/>
    </xf>
    <xf numFmtId="3" fontId="0" fillId="0" borderId="89" xfId="0" applyNumberFormat="1" applyBorder="1" applyAlignment="1">
      <alignment horizontal="center"/>
    </xf>
    <xf numFmtId="3" fontId="0" fillId="0" borderId="48" xfId="0" applyNumberFormat="1" applyBorder="1" applyAlignment="1">
      <alignment horizontal="center"/>
    </xf>
    <xf numFmtId="3" fontId="0" fillId="0" borderId="9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120" fillId="74" borderId="92" xfId="0" applyFont="1" applyFill="1" applyBorder="1" applyAlignment="1">
      <alignment horizontal="center" vertical="center" wrapText="1"/>
    </xf>
    <xf numFmtId="3" fontId="5" fillId="0" borderId="86" xfId="0" applyNumberFormat="1" applyFont="1" applyBorder="1"/>
    <xf numFmtId="3" fontId="0" fillId="0" borderId="48" xfId="0" applyNumberFormat="1" applyBorder="1"/>
    <xf numFmtId="0" fontId="0" fillId="75" borderId="0" xfId="0" applyFill="1" applyAlignment="1">
      <alignment horizontal="right"/>
    </xf>
    <xf numFmtId="0" fontId="5" fillId="75" borderId="0" xfId="0" applyFont="1" applyFill="1" applyAlignment="1">
      <alignment horizontal="center"/>
    </xf>
    <xf numFmtId="0" fontId="9" fillId="75" borderId="0" xfId="3" applyFill="1" applyAlignment="1">
      <alignment horizontal="right"/>
    </xf>
    <xf numFmtId="0" fontId="9" fillId="75" borderId="0" xfId="3" applyFill="1" applyAlignment="1">
      <alignment horizontal="left"/>
    </xf>
    <xf numFmtId="3" fontId="3" fillId="80" borderId="0" xfId="0" applyNumberFormat="1" applyFont="1" applyFill="1"/>
    <xf numFmtId="3" fontId="6" fillId="80" borderId="6" xfId="0" applyNumberFormat="1" applyFont="1" applyFill="1" applyBorder="1"/>
    <xf numFmtId="0" fontId="3" fillId="4" borderId="0" xfId="0" applyFont="1" applyFill="1"/>
    <xf numFmtId="0" fontId="5" fillId="0" borderId="0" xfId="0" applyFont="1" applyBorder="1" applyAlignment="1">
      <alignment horizontal="center"/>
    </xf>
    <xf numFmtId="0" fontId="0" fillId="3" borderId="87" xfId="0" applyFill="1" applyBorder="1"/>
    <xf numFmtId="0" fontId="0" fillId="3" borderId="89" xfId="0" applyFill="1" applyBorder="1"/>
    <xf numFmtId="0" fontId="0" fillId="3" borderId="91" xfId="0" applyFill="1" applyBorder="1"/>
    <xf numFmtId="3" fontId="0" fillId="0" borderId="11" xfId="0" applyNumberFormat="1" applyBorder="1"/>
    <xf numFmtId="3" fontId="0" fillId="80" borderId="12" xfId="0" applyNumberFormat="1" applyFill="1" applyBorder="1"/>
    <xf numFmtId="3" fontId="0" fillId="0" borderId="13" xfId="0" applyNumberFormat="1" applyBorder="1"/>
    <xf numFmtId="3" fontId="0" fillId="80" borderId="15" xfId="0" applyNumberFormat="1" applyFill="1" applyBorder="1"/>
    <xf numFmtId="3" fontId="6" fillId="80" borderId="12" xfId="0" applyNumberFormat="1" applyFont="1" applyFill="1" applyBorder="1" applyAlignment="1">
      <alignment horizontal="right"/>
    </xf>
    <xf numFmtId="9" fontId="10" fillId="0" borderId="11" xfId="2" applyNumberFormat="1" applyFont="1" applyBorder="1"/>
    <xf numFmtId="9" fontId="0" fillId="0" borderId="11" xfId="0" applyNumberFormat="1" applyBorder="1"/>
    <xf numFmtId="9" fontId="0" fillId="0" borderId="13" xfId="0" applyNumberFormat="1" applyBorder="1"/>
    <xf numFmtId="0" fontId="0" fillId="0" borderId="11" xfId="0" applyBorder="1"/>
    <xf numFmtId="3" fontId="10" fillId="80" borderId="12" xfId="2" applyNumberFormat="1" applyFont="1" applyFill="1" applyBorder="1"/>
    <xf numFmtId="3" fontId="6" fillId="80" borderId="12" xfId="0" applyNumberFormat="1" applyFont="1" applyFill="1" applyBorder="1"/>
    <xf numFmtId="0" fontId="3" fillId="3" borderId="0" xfId="0" applyFont="1" applyFill="1" applyBorder="1"/>
    <xf numFmtId="9" fontId="3" fillId="0" borderId="11" xfId="0" applyNumberFormat="1" applyFont="1" applyBorder="1"/>
    <xf numFmtId="3" fontId="3" fillId="0" borderId="11" xfId="0" applyNumberFormat="1" applyFont="1" applyBorder="1"/>
    <xf numFmtId="3" fontId="6" fillId="80" borderId="12" xfId="1" applyNumberFormat="1" applyFont="1" applyFill="1" applyBorder="1" applyAlignment="1">
      <alignment horizontal="right"/>
    </xf>
    <xf numFmtId="9" fontId="6" fillId="0" borderId="106" xfId="0" applyNumberFormat="1" applyFont="1" applyBorder="1" applyAlignment="1">
      <alignment horizontal="left"/>
    </xf>
    <xf numFmtId="3" fontId="6" fillId="80" borderId="107" xfId="0" applyNumberFormat="1" applyFont="1" applyFill="1" applyBorder="1" applyAlignment="1">
      <alignment horizontal="right"/>
    </xf>
    <xf numFmtId="3" fontId="6" fillId="0" borderId="106" xfId="0" applyNumberFormat="1" applyFont="1" applyBorder="1" applyAlignment="1">
      <alignment horizontal="left"/>
    </xf>
    <xf numFmtId="3" fontId="0" fillId="80" borderId="107" xfId="0" applyNumberFormat="1" applyFill="1" applyBorder="1"/>
    <xf numFmtId="3" fontId="6" fillId="80" borderId="5" xfId="0" quotePrefix="1" applyNumberFormat="1" applyFont="1" applyFill="1" applyBorder="1" applyAlignment="1">
      <alignment horizontal="center"/>
    </xf>
    <xf numFmtId="3" fontId="0" fillId="0" borderId="43" xfId="0" applyNumberFormat="1" applyBorder="1"/>
    <xf numFmtId="3" fontId="0" fillId="0" borderId="76" xfId="0" applyNumberFormat="1" applyBorder="1"/>
    <xf numFmtId="0" fontId="5" fillId="5" borderId="108" xfId="0" applyFont="1" applyFill="1" applyBorder="1"/>
    <xf numFmtId="0" fontId="124" fillId="3" borderId="71" xfId="0" applyFont="1" applyFill="1" applyBorder="1" applyAlignment="1">
      <alignment horizontal="center" vertical="center"/>
    </xf>
    <xf numFmtId="0" fontId="124" fillId="3" borderId="72" xfId="0" applyFont="1" applyFill="1" applyBorder="1" applyAlignment="1">
      <alignment horizontal="center" vertical="center"/>
    </xf>
    <xf numFmtId="0" fontId="124" fillId="3" borderId="73" xfId="0" applyFont="1" applyFill="1" applyBorder="1" applyAlignment="1">
      <alignment horizontal="center" vertical="center"/>
    </xf>
    <xf numFmtId="0" fontId="124" fillId="3" borderId="105" xfId="0" applyFont="1" applyFill="1" applyBorder="1" applyAlignment="1">
      <alignment horizontal="center" vertical="center"/>
    </xf>
    <xf numFmtId="0" fontId="124" fillId="3" borderId="43" xfId="0" applyFont="1" applyFill="1" applyBorder="1" applyAlignment="1">
      <alignment horizontal="center" vertical="center"/>
    </xf>
    <xf numFmtId="0" fontId="124" fillId="3" borderId="76" xfId="0" applyFont="1" applyFill="1" applyBorder="1" applyAlignment="1">
      <alignment horizontal="center" vertical="center"/>
    </xf>
    <xf numFmtId="0" fontId="0" fillId="0" borderId="2" xfId="0" applyBorder="1"/>
    <xf numFmtId="164" fontId="0" fillId="0" borderId="3" xfId="0" applyNumberFormat="1" applyBorder="1"/>
    <xf numFmtId="3" fontId="0" fillId="0" borderId="3" xfId="0" applyNumberFormat="1" applyBorder="1"/>
    <xf numFmtId="0" fontId="0" fillId="0" borderId="3" xfId="0" applyBorder="1"/>
    <xf numFmtId="0" fontId="0" fillId="0" borderId="4" xfId="0" applyBorder="1"/>
    <xf numFmtId="0" fontId="3" fillId="4" borderId="2" xfId="0" applyFont="1" applyFill="1" applyBorder="1"/>
    <xf numFmtId="0" fontId="0" fillId="4" borderId="4" xfId="0" applyFill="1" applyBorder="1"/>
    <xf numFmtId="0" fontId="5" fillId="4" borderId="2" xfId="0" applyFont="1" applyFill="1" applyBorder="1"/>
    <xf numFmtId="0" fontId="7" fillId="4" borderId="4" xfId="0" applyFont="1" applyFill="1" applyBorder="1"/>
    <xf numFmtId="10" fontId="3" fillId="0" borderId="0" xfId="2" applyNumberFormat="1" applyFont="1" applyBorder="1"/>
    <xf numFmtId="0" fontId="5" fillId="3" borderId="0" xfId="0" applyFont="1" applyFill="1"/>
    <xf numFmtId="0" fontId="0" fillId="0" borderId="0" xfId="0" applyFill="1"/>
    <xf numFmtId="3" fontId="0" fillId="0" borderId="0" xfId="0" applyNumberFormat="1" applyFill="1"/>
    <xf numFmtId="164" fontId="5" fillId="0" borderId="0" xfId="0" applyNumberFormat="1" applyFont="1"/>
    <xf numFmtId="174" fontId="0" fillId="0" borderId="0" xfId="0" applyNumberFormat="1"/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0" fillId="3" borderId="109" xfId="0" applyFill="1" applyBorder="1"/>
    <xf numFmtId="0" fontId="0" fillId="3" borderId="110" xfId="0" applyFill="1" applyBorder="1"/>
    <xf numFmtId="0" fontId="0" fillId="3" borderId="111" xfId="0" applyFill="1" applyBorder="1"/>
    <xf numFmtId="0" fontId="9" fillId="0" borderId="0" xfId="3"/>
  </cellXfs>
  <cellStyles count="2006">
    <cellStyle name="???????????" xfId="4"/>
    <cellStyle name="€ : (converti en EURO)" xfId="5"/>
    <cellStyle name="€ : (formule ECRASEE)" xfId="6"/>
    <cellStyle name="€ : (NON converti)" xfId="7"/>
    <cellStyle name="€ : (passage a l'EURO)" xfId="8"/>
    <cellStyle name="€ : (passage a l'EURO) 2" xfId="9"/>
    <cellStyle name="€ : (passage a l'EURO) 3" xfId="10"/>
    <cellStyle name="=C:\WINNT35\SYSTEM32\COMMAND.COM" xfId="11"/>
    <cellStyle name="20 % - Akzent1" xfId="12"/>
    <cellStyle name="20 % - Akzent1 2" xfId="13"/>
    <cellStyle name="20 % - Akzent1 3" xfId="14"/>
    <cellStyle name="20 % - Akzent2" xfId="15"/>
    <cellStyle name="20 % - Akzent2 2" xfId="16"/>
    <cellStyle name="20 % - Akzent2 3" xfId="17"/>
    <cellStyle name="20 % - Akzent3" xfId="18"/>
    <cellStyle name="20 % - Akzent3 2" xfId="19"/>
    <cellStyle name="20 % - Akzent3 3" xfId="20"/>
    <cellStyle name="20 % - Akzent4" xfId="21"/>
    <cellStyle name="20 % - Akzent4 2" xfId="22"/>
    <cellStyle name="20 % - Akzent4 3" xfId="23"/>
    <cellStyle name="20 % - Akzent5" xfId="24"/>
    <cellStyle name="20 % - Akzent5 2" xfId="25"/>
    <cellStyle name="20 % - Akzent5 3" xfId="26"/>
    <cellStyle name="20 % - Akzent6" xfId="27"/>
    <cellStyle name="20 % - Akzent6 2" xfId="28"/>
    <cellStyle name="20 % - Akzent6 3" xfId="29"/>
    <cellStyle name="20 % - Accent1 2" xfId="30"/>
    <cellStyle name="20 % - Accent2 2" xfId="31"/>
    <cellStyle name="20 % - Accent3 2" xfId="32"/>
    <cellStyle name="20 % - Accent4 2" xfId="33"/>
    <cellStyle name="20 % - Accent5 2" xfId="34"/>
    <cellStyle name="20 % - Accent6 2" xfId="35"/>
    <cellStyle name="20% - Accent1 2" xfId="36"/>
    <cellStyle name="20% - Accent1 3" xfId="37"/>
    <cellStyle name="20% - Accent2 2" xfId="38"/>
    <cellStyle name="20% - Accent2 3" xfId="39"/>
    <cellStyle name="20% - Accent3 2" xfId="40"/>
    <cellStyle name="20% - Accent3 3" xfId="41"/>
    <cellStyle name="20% - Accent4 2" xfId="42"/>
    <cellStyle name="20% - Accent4 3" xfId="43"/>
    <cellStyle name="20% - Accent5 2" xfId="44"/>
    <cellStyle name="20% - Accent5 3" xfId="45"/>
    <cellStyle name="20% - Accent6 2" xfId="46"/>
    <cellStyle name="20% - Accent6 3" xfId="47"/>
    <cellStyle name="20% - Akzent1" xfId="48"/>
    <cellStyle name="20% - Akzent2" xfId="49"/>
    <cellStyle name="20% - Akzent3" xfId="50"/>
    <cellStyle name="20% - Akzent4" xfId="51"/>
    <cellStyle name="20% - Akzent5" xfId="52"/>
    <cellStyle name="20% - Akzent6" xfId="53"/>
    <cellStyle name="20% - Dekorfärg1" xfId="54"/>
    <cellStyle name="20% - Dekorfärg2" xfId="55"/>
    <cellStyle name="20% - Dekorfärg3" xfId="56"/>
    <cellStyle name="20% - Dekorfärg4" xfId="57"/>
    <cellStyle name="20% - Dekorfärg5" xfId="58"/>
    <cellStyle name="20% - Dekorfärg6" xfId="59"/>
    <cellStyle name="2x indented GHG Textfiels" xfId="60"/>
    <cellStyle name="2x indented GHG Textfiels 2" xfId="61"/>
    <cellStyle name="2x indented GHG Textfiels 2 2" xfId="62"/>
    <cellStyle name="2x indented GHG Textfiels 2 3" xfId="63"/>
    <cellStyle name="2x indented GHG Textfiels 2 4" xfId="64"/>
    <cellStyle name="2x indented GHG Textfiels 3" xfId="65"/>
    <cellStyle name="2x indented GHG Textfiels 3 2" xfId="66"/>
    <cellStyle name="2x indented GHG Textfiels 3 2 2" xfId="67"/>
    <cellStyle name="2x indented GHG Textfiels 3 2 2 2" xfId="68"/>
    <cellStyle name="2x indented GHG Textfiels 3 2 2 2 2" xfId="69"/>
    <cellStyle name="2x indented GHG Textfiels 3 2 2 3" xfId="70"/>
    <cellStyle name="2x indented GHG Textfiels 3 2 3" xfId="71"/>
    <cellStyle name="2x indented GHG Textfiels 3 2 3 2" xfId="72"/>
    <cellStyle name="2x indented GHG Textfiels 3 2 4" xfId="73"/>
    <cellStyle name="2x indented GHG Textfiels 3 3" xfId="74"/>
    <cellStyle name="2x indented GHG Textfiels 3 3 2" xfId="75"/>
    <cellStyle name="2x indented GHG Textfiels 3 3 2 2" xfId="76"/>
    <cellStyle name="2x indented GHG Textfiels 3 3 2 2 2" xfId="77"/>
    <cellStyle name="2x indented GHG Textfiels 3 3 2 3" xfId="78"/>
    <cellStyle name="2x indented GHG Textfiels 3 3 3" xfId="79"/>
    <cellStyle name="2x indented GHG Textfiels 3 3 3 2" xfId="80"/>
    <cellStyle name="2x indented GHG Textfiels 3 3 3 2 2" xfId="81"/>
    <cellStyle name="2x indented GHG Textfiels 3 3 3 3" xfId="82"/>
    <cellStyle name="2x indented GHG Textfiels 3 3 4" xfId="83"/>
    <cellStyle name="2x indented GHG Textfiels 3 3 4 2" xfId="84"/>
    <cellStyle name="2x indented GHG Textfiels 3 3 4 2 2" xfId="85"/>
    <cellStyle name="2x indented GHG Textfiels 3 3 4 3" xfId="86"/>
    <cellStyle name="2x indented GHG Textfiels 3 3 5" xfId="87"/>
    <cellStyle name="2x indented GHG Textfiels 3 3 5 2" xfId="88"/>
    <cellStyle name="2x indented GHG Textfiels 3 3 6" xfId="89"/>
    <cellStyle name="2x indented GHG Textfiels 3 4" xfId="90"/>
    <cellStyle name="2x indented GHG Textfiels 3 4 2" xfId="91"/>
    <cellStyle name="2x indented GHG Textfiels 3 5" xfId="92"/>
    <cellStyle name="2x indented GHG Textfiels 4" xfId="93"/>
    <cellStyle name="2x indented GHG Textfiels 5" xfId="94"/>
    <cellStyle name="2x indented GHG Textfiels 6" xfId="95"/>
    <cellStyle name="40 % - Akzent1" xfId="96"/>
    <cellStyle name="40 % - Akzent1 2" xfId="97"/>
    <cellStyle name="40 % - Akzent1 3" xfId="98"/>
    <cellStyle name="40 % - Akzent2" xfId="99"/>
    <cellStyle name="40 % - Akzent2 2" xfId="100"/>
    <cellStyle name="40 % - Akzent2 3" xfId="101"/>
    <cellStyle name="40 % - Akzent3" xfId="102"/>
    <cellStyle name="40 % - Akzent3 2" xfId="103"/>
    <cellStyle name="40 % - Akzent3 3" xfId="104"/>
    <cellStyle name="40 % - Akzent4" xfId="105"/>
    <cellStyle name="40 % - Akzent4 2" xfId="106"/>
    <cellStyle name="40 % - Akzent4 3" xfId="107"/>
    <cellStyle name="40 % - Akzent5" xfId="108"/>
    <cellStyle name="40 % - Akzent5 2" xfId="109"/>
    <cellStyle name="40 % - Akzent5 3" xfId="110"/>
    <cellStyle name="40 % - Akzent6" xfId="111"/>
    <cellStyle name="40 % - Akzent6 2" xfId="112"/>
    <cellStyle name="40 % - Akzent6 3" xfId="113"/>
    <cellStyle name="40 % - Accent1 2" xfId="114"/>
    <cellStyle name="40 % - Accent2 2" xfId="115"/>
    <cellStyle name="40 % - Accent3 2" xfId="116"/>
    <cellStyle name="40 % - Accent4 2" xfId="117"/>
    <cellStyle name="40 % - Accent5 2" xfId="118"/>
    <cellStyle name="40 % - Accent6 2" xfId="119"/>
    <cellStyle name="40% - Accent1 2" xfId="120"/>
    <cellStyle name="40% - Accent1 3" xfId="121"/>
    <cellStyle name="40% - Accent2 2" xfId="122"/>
    <cellStyle name="40% - Accent2 3" xfId="123"/>
    <cellStyle name="40% - Accent3 2" xfId="124"/>
    <cellStyle name="40% - Accent3 3" xfId="125"/>
    <cellStyle name="40% - Accent4 2" xfId="126"/>
    <cellStyle name="40% - Accent4 3" xfId="127"/>
    <cellStyle name="40% - Accent5 2" xfId="128"/>
    <cellStyle name="40% - Accent5 3" xfId="129"/>
    <cellStyle name="40% - Accent6 2" xfId="130"/>
    <cellStyle name="40% - Accent6 3" xfId="131"/>
    <cellStyle name="40% - Akzent1" xfId="132"/>
    <cellStyle name="40% - Akzent2" xfId="133"/>
    <cellStyle name="40% - Akzent3" xfId="134"/>
    <cellStyle name="40% - Akzent4" xfId="135"/>
    <cellStyle name="40% - Akzent5" xfId="136"/>
    <cellStyle name="40% - Akzent6" xfId="137"/>
    <cellStyle name="40% - Dekorfärg1" xfId="138"/>
    <cellStyle name="40% - Dekorfärg2" xfId="139"/>
    <cellStyle name="40% - Dekorfärg3" xfId="140"/>
    <cellStyle name="40% - Dekorfärg4" xfId="141"/>
    <cellStyle name="40% - Dekorfärg5" xfId="142"/>
    <cellStyle name="40% - Dekorfärg6" xfId="143"/>
    <cellStyle name="5x indented GHG Textfiels" xfId="144"/>
    <cellStyle name="5x indented GHG Textfiels 2" xfId="145"/>
    <cellStyle name="5x indented GHG Textfiels 2 2" xfId="146"/>
    <cellStyle name="5x indented GHG Textfiels 2 3" xfId="147"/>
    <cellStyle name="5x indented GHG Textfiels 2 4" xfId="148"/>
    <cellStyle name="5x indented GHG Textfiels 3" xfId="149"/>
    <cellStyle name="5x indented GHG Textfiels 3 2" xfId="150"/>
    <cellStyle name="5x indented GHG Textfiels 3 2 2" xfId="151"/>
    <cellStyle name="5x indented GHG Textfiels 3 2 2 2" xfId="152"/>
    <cellStyle name="5x indented GHG Textfiels 3 2 3" xfId="153"/>
    <cellStyle name="5x indented GHG Textfiels 3 2 4" xfId="154"/>
    <cellStyle name="5x indented GHG Textfiels 3 3" xfId="155"/>
    <cellStyle name="5x indented GHG Textfiels 3 3 2" xfId="156"/>
    <cellStyle name="5x indented GHG Textfiels 3 3 2 2" xfId="157"/>
    <cellStyle name="5x indented GHG Textfiels 3 3 2 2 2" xfId="158"/>
    <cellStyle name="5x indented GHG Textfiels 3 3 2 3" xfId="159"/>
    <cellStyle name="5x indented GHG Textfiels 3 3 2 4" xfId="160"/>
    <cellStyle name="5x indented GHG Textfiels 3 3 3" xfId="161"/>
    <cellStyle name="5x indented GHG Textfiels 3 3 3 2" xfId="162"/>
    <cellStyle name="5x indented GHG Textfiels 3 3 3 2 2" xfId="163"/>
    <cellStyle name="5x indented GHG Textfiels 3 3 3 3" xfId="164"/>
    <cellStyle name="5x indented GHG Textfiels 3 3 3 4" xfId="165"/>
    <cellStyle name="5x indented GHG Textfiels 3 3 4" xfId="166"/>
    <cellStyle name="5x indented GHG Textfiels 3 3 4 2" xfId="167"/>
    <cellStyle name="5x indented GHG Textfiels 3 3 4 2 2" xfId="168"/>
    <cellStyle name="5x indented GHG Textfiels 3 3 4 3" xfId="169"/>
    <cellStyle name="5x indented GHG Textfiels 3 3 4 4" xfId="170"/>
    <cellStyle name="5x indented GHG Textfiels 3 3 5" xfId="171"/>
    <cellStyle name="5x indented GHG Textfiels 3 3 5 2" xfId="172"/>
    <cellStyle name="5x indented GHG Textfiels 3 3 6" xfId="173"/>
    <cellStyle name="5x indented GHG Textfiels 3 3 7" xfId="174"/>
    <cellStyle name="5x indented GHG Textfiels 3 4" xfId="175"/>
    <cellStyle name="5x indented GHG Textfiels 3 4 2" xfId="176"/>
    <cellStyle name="5x indented GHG Textfiels 3 5" xfId="177"/>
    <cellStyle name="5x indented GHG Textfiels 3 6" xfId="178"/>
    <cellStyle name="5x indented GHG Textfiels 4" xfId="179"/>
    <cellStyle name="5x indented GHG Textfiels 5" xfId="180"/>
    <cellStyle name="5x indented GHG Textfiels 6" xfId="181"/>
    <cellStyle name="5x indented GHG Textfiels 7" xfId="182"/>
    <cellStyle name="5x indented GHG Textfiels_Table 4(II)" xfId="183"/>
    <cellStyle name="60 % - Akzent1" xfId="184"/>
    <cellStyle name="60 % - Akzent1 2" xfId="185"/>
    <cellStyle name="60 % - Akzent1 3" xfId="186"/>
    <cellStyle name="60 % - Akzent2" xfId="187"/>
    <cellStyle name="60 % - Akzent2 2" xfId="188"/>
    <cellStyle name="60 % - Akzent2 3" xfId="189"/>
    <cellStyle name="60 % - Akzent3" xfId="190"/>
    <cellStyle name="60 % - Akzent3 2" xfId="191"/>
    <cellStyle name="60 % - Akzent3 3" xfId="192"/>
    <cellStyle name="60 % - Akzent4" xfId="193"/>
    <cellStyle name="60 % - Akzent4 2" xfId="194"/>
    <cellStyle name="60 % - Akzent4 3" xfId="195"/>
    <cellStyle name="60 % - Akzent5" xfId="196"/>
    <cellStyle name="60 % - Akzent5 2" xfId="197"/>
    <cellStyle name="60 % - Akzent5 3" xfId="198"/>
    <cellStyle name="60 % - Akzent6" xfId="199"/>
    <cellStyle name="60 % - Akzent6 2" xfId="200"/>
    <cellStyle name="60 % - Akzent6 3" xfId="201"/>
    <cellStyle name="60 % - Accent1 2" xfId="202"/>
    <cellStyle name="60 % - Accent2 2" xfId="203"/>
    <cellStyle name="60 % - Accent3 2" xfId="204"/>
    <cellStyle name="60 % - Accent4 2" xfId="205"/>
    <cellStyle name="60 % - Accent5 2" xfId="206"/>
    <cellStyle name="60 % - Accent6 2" xfId="207"/>
    <cellStyle name="60% - Accent1 2" xfId="208"/>
    <cellStyle name="60% - Accent1 3" xfId="209"/>
    <cellStyle name="60% - Accent2 2" xfId="210"/>
    <cellStyle name="60% - Accent2 3" xfId="211"/>
    <cellStyle name="60% - Accent3 2" xfId="212"/>
    <cellStyle name="60% - Accent3 3" xfId="213"/>
    <cellStyle name="60% - Accent4 2" xfId="214"/>
    <cellStyle name="60% - Accent4 3" xfId="215"/>
    <cellStyle name="60% - Accent5 2" xfId="216"/>
    <cellStyle name="60% - Accent5 3" xfId="217"/>
    <cellStyle name="60% - Accent6 2" xfId="218"/>
    <cellStyle name="60% - Accent6 3" xfId="219"/>
    <cellStyle name="60% - Akzent1" xfId="220"/>
    <cellStyle name="60% - Akzent2" xfId="221"/>
    <cellStyle name="60% - Akzent3" xfId="222"/>
    <cellStyle name="60% - Akzent4" xfId="223"/>
    <cellStyle name="60% - Akzent5" xfId="224"/>
    <cellStyle name="60% - Akzent6" xfId="225"/>
    <cellStyle name="60% - Dekorfärg1" xfId="226"/>
    <cellStyle name="60% - Dekorfärg2" xfId="227"/>
    <cellStyle name="60% - Dekorfärg3" xfId="228"/>
    <cellStyle name="60% - Dekorfärg4" xfId="229"/>
    <cellStyle name="60% - Dekorfärg5" xfId="230"/>
    <cellStyle name="60% - Dekorfärg6" xfId="231"/>
    <cellStyle name="Accent1 2" xfId="232"/>
    <cellStyle name="Accent1 3" xfId="233"/>
    <cellStyle name="Accent1 4" xfId="234"/>
    <cellStyle name="Accent2 2" xfId="235"/>
    <cellStyle name="Accent2 3" xfId="236"/>
    <cellStyle name="Accent2 4" xfId="237"/>
    <cellStyle name="Accent3 2" xfId="238"/>
    <cellStyle name="Accent3 3" xfId="239"/>
    <cellStyle name="Accent3 4" xfId="240"/>
    <cellStyle name="Accent4 2" xfId="241"/>
    <cellStyle name="Accent4 3" xfId="242"/>
    <cellStyle name="Accent4 4" xfId="243"/>
    <cellStyle name="Accent5 2" xfId="244"/>
    <cellStyle name="Accent5 3" xfId="245"/>
    <cellStyle name="Accent5 4" xfId="246"/>
    <cellStyle name="Accent6 2" xfId="247"/>
    <cellStyle name="Accent6 3" xfId="248"/>
    <cellStyle name="Accent6 4" xfId="249"/>
    <cellStyle name="AggblueBoldCels" xfId="250"/>
    <cellStyle name="AggblueBoldCels 2" xfId="251"/>
    <cellStyle name="AggblueBoldCels_CRFReport-template" xfId="252"/>
    <cellStyle name="AggblueCels" xfId="253"/>
    <cellStyle name="AggblueCels 2" xfId="254"/>
    <cellStyle name="AggblueCels_1x" xfId="255"/>
    <cellStyle name="AggBoldCells" xfId="256"/>
    <cellStyle name="AggBoldCells 2" xfId="257"/>
    <cellStyle name="AggBoldCells 3" xfId="258"/>
    <cellStyle name="AggBoldCells 4" xfId="259"/>
    <cellStyle name="AggCels" xfId="260"/>
    <cellStyle name="AggCels 2" xfId="261"/>
    <cellStyle name="AggCels 3" xfId="262"/>
    <cellStyle name="AggCels 4" xfId="263"/>
    <cellStyle name="AggCels_T(2)" xfId="264"/>
    <cellStyle name="AggGreen" xfId="265"/>
    <cellStyle name="AggGreen 2" xfId="266"/>
    <cellStyle name="AggGreen 2 2" xfId="267"/>
    <cellStyle name="AggGreen 2 2 2" xfId="268"/>
    <cellStyle name="AggGreen 2 2 2 2" xfId="269"/>
    <cellStyle name="AggGreen 2 2 2 2 2" xfId="270"/>
    <cellStyle name="AggGreen 2 2 2 3" xfId="271"/>
    <cellStyle name="AggGreen 2 2 3" xfId="272"/>
    <cellStyle name="AggGreen 2 2 3 2" xfId="273"/>
    <cellStyle name="AggGreen 2 2 4" xfId="274"/>
    <cellStyle name="AggGreen 2 3" xfId="275"/>
    <cellStyle name="AggGreen 2 3 2" xfId="276"/>
    <cellStyle name="AggGreen 2 3 2 2" xfId="277"/>
    <cellStyle name="AggGreen 2 3 2 2 2" xfId="278"/>
    <cellStyle name="AggGreen 2 3 2 3" xfId="279"/>
    <cellStyle name="AggGreen 2 3 3" xfId="280"/>
    <cellStyle name="AggGreen 2 3 3 2" xfId="281"/>
    <cellStyle name="AggGreen 2 3 3 2 2" xfId="282"/>
    <cellStyle name="AggGreen 2 3 3 3" xfId="283"/>
    <cellStyle name="AggGreen 2 3 4" xfId="284"/>
    <cellStyle name="AggGreen 2 3 4 2" xfId="285"/>
    <cellStyle name="AggGreen 2 3 4 2 2" xfId="286"/>
    <cellStyle name="AggGreen 2 3 4 3" xfId="287"/>
    <cellStyle name="AggGreen 2 3 5" xfId="288"/>
    <cellStyle name="AggGreen 2 3 5 2" xfId="289"/>
    <cellStyle name="AggGreen 2 3 6" xfId="290"/>
    <cellStyle name="AggGreen 2 4" xfId="291"/>
    <cellStyle name="AggGreen 2 4 2" xfId="292"/>
    <cellStyle name="AggGreen 2 5" xfId="293"/>
    <cellStyle name="AggGreen 3" xfId="294"/>
    <cellStyle name="AggGreen 3 2" xfId="295"/>
    <cellStyle name="AggGreen 3 2 2" xfId="296"/>
    <cellStyle name="AggGreen 3 2 2 2" xfId="297"/>
    <cellStyle name="AggGreen 3 2 3" xfId="298"/>
    <cellStyle name="AggGreen 3 3" xfId="299"/>
    <cellStyle name="AggGreen 3 3 2" xfId="300"/>
    <cellStyle name="AggGreen 3 4" xfId="301"/>
    <cellStyle name="AggGreen 4" xfId="302"/>
    <cellStyle name="AggGreen 4 2" xfId="303"/>
    <cellStyle name="AggGreen 4 2 2" xfId="304"/>
    <cellStyle name="AggGreen 4 2 2 2" xfId="305"/>
    <cellStyle name="AggGreen 4 2 3" xfId="306"/>
    <cellStyle name="AggGreen 4 3" xfId="307"/>
    <cellStyle name="AggGreen 4 3 2" xfId="308"/>
    <cellStyle name="AggGreen 4 3 2 2" xfId="309"/>
    <cellStyle name="AggGreen 4 3 3" xfId="310"/>
    <cellStyle name="AggGreen 4 4" xfId="311"/>
    <cellStyle name="AggGreen 4 4 2" xfId="312"/>
    <cellStyle name="AggGreen 4 4 2 2" xfId="313"/>
    <cellStyle name="AggGreen 4 4 3" xfId="314"/>
    <cellStyle name="AggGreen 4 5" xfId="315"/>
    <cellStyle name="AggGreen 4 5 2" xfId="316"/>
    <cellStyle name="AggGreen 4 6" xfId="317"/>
    <cellStyle name="AggGreen 5" xfId="318"/>
    <cellStyle name="AggGreen 5 2" xfId="319"/>
    <cellStyle name="AggGreen 6" xfId="320"/>
    <cellStyle name="AggGreen_Bbdr" xfId="321"/>
    <cellStyle name="AggGreen12" xfId="322"/>
    <cellStyle name="AggGreen12 2" xfId="323"/>
    <cellStyle name="AggGreen12 2 2" xfId="324"/>
    <cellStyle name="AggGreen12 2 2 2" xfId="325"/>
    <cellStyle name="AggGreen12 2 2 2 2" xfId="326"/>
    <cellStyle name="AggGreen12 2 2 2 2 2" xfId="327"/>
    <cellStyle name="AggGreen12 2 2 2 3" xfId="328"/>
    <cellStyle name="AggGreen12 2 2 3" xfId="329"/>
    <cellStyle name="AggGreen12 2 2 3 2" xfId="330"/>
    <cellStyle name="AggGreen12 2 2 4" xfId="331"/>
    <cellStyle name="AggGreen12 2 3" xfId="332"/>
    <cellStyle name="AggGreen12 2 3 2" xfId="333"/>
    <cellStyle name="AggGreen12 2 3 2 2" xfId="334"/>
    <cellStyle name="AggGreen12 2 3 2 2 2" xfId="335"/>
    <cellStyle name="AggGreen12 2 3 2 3" xfId="336"/>
    <cellStyle name="AggGreen12 2 3 3" xfId="337"/>
    <cellStyle name="AggGreen12 2 3 3 2" xfId="338"/>
    <cellStyle name="AggGreen12 2 3 3 2 2" xfId="339"/>
    <cellStyle name="AggGreen12 2 3 3 3" xfId="340"/>
    <cellStyle name="AggGreen12 2 3 4" xfId="341"/>
    <cellStyle name="AggGreen12 2 3 4 2" xfId="342"/>
    <cellStyle name="AggGreen12 2 3 4 2 2" xfId="343"/>
    <cellStyle name="AggGreen12 2 3 4 3" xfId="344"/>
    <cellStyle name="AggGreen12 2 3 5" xfId="345"/>
    <cellStyle name="AggGreen12 2 3 5 2" xfId="346"/>
    <cellStyle name="AggGreen12 2 3 6" xfId="347"/>
    <cellStyle name="AggGreen12 2 4" xfId="348"/>
    <cellStyle name="AggGreen12 2 4 2" xfId="349"/>
    <cellStyle name="AggGreen12 2 5" xfId="350"/>
    <cellStyle name="AggGreen12 3" xfId="351"/>
    <cellStyle name="AggGreen12 3 2" xfId="352"/>
    <cellStyle name="AggGreen12 3 2 2" xfId="353"/>
    <cellStyle name="AggGreen12 3 2 2 2" xfId="354"/>
    <cellStyle name="AggGreen12 3 2 3" xfId="355"/>
    <cellStyle name="AggGreen12 3 3" xfId="356"/>
    <cellStyle name="AggGreen12 3 3 2" xfId="357"/>
    <cellStyle name="AggGreen12 3 4" xfId="358"/>
    <cellStyle name="AggGreen12 4" xfId="359"/>
    <cellStyle name="AggGreen12 4 2" xfId="360"/>
    <cellStyle name="AggGreen12 4 2 2" xfId="361"/>
    <cellStyle name="AggGreen12 4 2 2 2" xfId="362"/>
    <cellStyle name="AggGreen12 4 2 3" xfId="363"/>
    <cellStyle name="AggGreen12 4 3" xfId="364"/>
    <cellStyle name="AggGreen12 4 3 2" xfId="365"/>
    <cellStyle name="AggGreen12 4 3 2 2" xfId="366"/>
    <cellStyle name="AggGreen12 4 3 3" xfId="367"/>
    <cellStyle name="AggGreen12 4 4" xfId="368"/>
    <cellStyle name="AggGreen12 4 4 2" xfId="369"/>
    <cellStyle name="AggGreen12 4 4 2 2" xfId="370"/>
    <cellStyle name="AggGreen12 4 4 3" xfId="371"/>
    <cellStyle name="AggGreen12 4 5" xfId="372"/>
    <cellStyle name="AggGreen12 4 5 2" xfId="373"/>
    <cellStyle name="AggGreen12 4 6" xfId="374"/>
    <cellStyle name="AggGreen12 5" xfId="375"/>
    <cellStyle name="AggGreen12 5 2" xfId="376"/>
    <cellStyle name="AggGreen12 6" xfId="377"/>
    <cellStyle name="AggOrange" xfId="378"/>
    <cellStyle name="AggOrange 2" xfId="379"/>
    <cellStyle name="AggOrange 2 2" xfId="380"/>
    <cellStyle name="AggOrange 2 2 2" xfId="381"/>
    <cellStyle name="AggOrange 2 2 2 2" xfId="382"/>
    <cellStyle name="AggOrange 2 2 2 2 2" xfId="383"/>
    <cellStyle name="AggOrange 2 2 2 3" xfId="384"/>
    <cellStyle name="AggOrange 2 2 3" xfId="385"/>
    <cellStyle name="AggOrange 2 2 3 2" xfId="386"/>
    <cellStyle name="AggOrange 2 2 4" xfId="387"/>
    <cellStyle name="AggOrange 2 3" xfId="388"/>
    <cellStyle name="AggOrange 2 3 2" xfId="389"/>
    <cellStyle name="AggOrange 2 3 2 2" xfId="390"/>
    <cellStyle name="AggOrange 2 3 2 2 2" xfId="391"/>
    <cellStyle name="AggOrange 2 3 2 3" xfId="392"/>
    <cellStyle name="AggOrange 2 3 3" xfId="393"/>
    <cellStyle name="AggOrange 2 3 3 2" xfId="394"/>
    <cellStyle name="AggOrange 2 3 3 2 2" xfId="395"/>
    <cellStyle name="AggOrange 2 3 3 3" xfId="396"/>
    <cellStyle name="AggOrange 2 3 4" xfId="397"/>
    <cellStyle name="AggOrange 2 3 4 2" xfId="398"/>
    <cellStyle name="AggOrange 2 3 4 2 2" xfId="399"/>
    <cellStyle name="AggOrange 2 3 4 3" xfId="400"/>
    <cellStyle name="AggOrange 2 3 5" xfId="401"/>
    <cellStyle name="AggOrange 2 3 5 2" xfId="402"/>
    <cellStyle name="AggOrange 2 3 6" xfId="403"/>
    <cellStyle name="AggOrange 2 4" xfId="404"/>
    <cellStyle name="AggOrange 2 4 2" xfId="405"/>
    <cellStyle name="AggOrange 2 5" xfId="406"/>
    <cellStyle name="AggOrange 3" xfId="407"/>
    <cellStyle name="AggOrange 3 2" xfId="408"/>
    <cellStyle name="AggOrange 3 2 2" xfId="409"/>
    <cellStyle name="AggOrange 3 2 2 2" xfId="410"/>
    <cellStyle name="AggOrange 3 2 3" xfId="411"/>
    <cellStyle name="AggOrange 3 3" xfId="412"/>
    <cellStyle name="AggOrange 3 3 2" xfId="413"/>
    <cellStyle name="AggOrange 3 4" xfId="414"/>
    <cellStyle name="AggOrange 4" xfId="415"/>
    <cellStyle name="AggOrange 4 2" xfId="416"/>
    <cellStyle name="AggOrange 4 2 2" xfId="417"/>
    <cellStyle name="AggOrange 4 2 2 2" xfId="418"/>
    <cellStyle name="AggOrange 4 2 3" xfId="419"/>
    <cellStyle name="AggOrange 4 3" xfId="420"/>
    <cellStyle name="AggOrange 4 3 2" xfId="421"/>
    <cellStyle name="AggOrange 4 3 2 2" xfId="422"/>
    <cellStyle name="AggOrange 4 3 3" xfId="423"/>
    <cellStyle name="AggOrange 4 4" xfId="424"/>
    <cellStyle name="AggOrange 4 4 2" xfId="425"/>
    <cellStyle name="AggOrange 4 4 2 2" xfId="426"/>
    <cellStyle name="AggOrange 4 4 3" xfId="427"/>
    <cellStyle name="AggOrange 4 5" xfId="428"/>
    <cellStyle name="AggOrange 4 5 2" xfId="429"/>
    <cellStyle name="AggOrange 4 6" xfId="430"/>
    <cellStyle name="AggOrange 5" xfId="431"/>
    <cellStyle name="AggOrange 5 2" xfId="432"/>
    <cellStyle name="AggOrange 6" xfId="433"/>
    <cellStyle name="AggOrange_B_border" xfId="434"/>
    <cellStyle name="AggOrange9" xfId="435"/>
    <cellStyle name="AggOrange9 2" xfId="436"/>
    <cellStyle name="AggOrange9 2 2" xfId="437"/>
    <cellStyle name="AggOrange9 2 2 2" xfId="438"/>
    <cellStyle name="AggOrange9 2 2 2 2" xfId="439"/>
    <cellStyle name="AggOrange9 2 2 2 2 2" xfId="440"/>
    <cellStyle name="AggOrange9 2 2 2 3" xfId="441"/>
    <cellStyle name="AggOrange9 2 2 3" xfId="442"/>
    <cellStyle name="AggOrange9 2 2 3 2" xfId="443"/>
    <cellStyle name="AggOrange9 2 2 4" xfId="444"/>
    <cellStyle name="AggOrange9 2 3" xfId="445"/>
    <cellStyle name="AggOrange9 2 3 2" xfId="446"/>
    <cellStyle name="AggOrange9 2 3 2 2" xfId="447"/>
    <cellStyle name="AggOrange9 2 3 2 2 2" xfId="448"/>
    <cellStyle name="AggOrange9 2 3 2 3" xfId="449"/>
    <cellStyle name="AggOrange9 2 3 3" xfId="450"/>
    <cellStyle name="AggOrange9 2 3 3 2" xfId="451"/>
    <cellStyle name="AggOrange9 2 3 3 2 2" xfId="452"/>
    <cellStyle name="AggOrange9 2 3 3 3" xfId="453"/>
    <cellStyle name="AggOrange9 2 3 4" xfId="454"/>
    <cellStyle name="AggOrange9 2 3 4 2" xfId="455"/>
    <cellStyle name="AggOrange9 2 3 4 2 2" xfId="456"/>
    <cellStyle name="AggOrange9 2 3 4 3" xfId="457"/>
    <cellStyle name="AggOrange9 2 3 5" xfId="458"/>
    <cellStyle name="AggOrange9 2 3 5 2" xfId="459"/>
    <cellStyle name="AggOrange9 2 3 6" xfId="460"/>
    <cellStyle name="AggOrange9 2 4" xfId="461"/>
    <cellStyle name="AggOrange9 2 4 2" xfId="462"/>
    <cellStyle name="AggOrange9 2 5" xfId="463"/>
    <cellStyle name="AggOrange9 3" xfId="464"/>
    <cellStyle name="AggOrange9 3 2" xfId="465"/>
    <cellStyle name="AggOrange9 3 2 2" xfId="466"/>
    <cellStyle name="AggOrange9 3 2 2 2" xfId="467"/>
    <cellStyle name="AggOrange9 3 2 3" xfId="468"/>
    <cellStyle name="AggOrange9 3 3" xfId="469"/>
    <cellStyle name="AggOrange9 3 3 2" xfId="470"/>
    <cellStyle name="AggOrange9 3 4" xfId="471"/>
    <cellStyle name="AggOrange9 4" xfId="472"/>
    <cellStyle name="AggOrange9 4 2" xfId="473"/>
    <cellStyle name="AggOrange9 4 2 2" xfId="474"/>
    <cellStyle name="AggOrange9 4 2 2 2" xfId="475"/>
    <cellStyle name="AggOrange9 4 2 3" xfId="476"/>
    <cellStyle name="AggOrange9 4 3" xfId="477"/>
    <cellStyle name="AggOrange9 4 3 2" xfId="478"/>
    <cellStyle name="AggOrange9 4 3 2 2" xfId="479"/>
    <cellStyle name="AggOrange9 4 3 3" xfId="480"/>
    <cellStyle name="AggOrange9 4 4" xfId="481"/>
    <cellStyle name="AggOrange9 4 4 2" xfId="482"/>
    <cellStyle name="AggOrange9 4 4 2 2" xfId="483"/>
    <cellStyle name="AggOrange9 4 4 3" xfId="484"/>
    <cellStyle name="AggOrange9 4 5" xfId="485"/>
    <cellStyle name="AggOrange9 4 5 2" xfId="486"/>
    <cellStyle name="AggOrange9 4 6" xfId="487"/>
    <cellStyle name="AggOrange9 5" xfId="488"/>
    <cellStyle name="AggOrange9 5 2" xfId="489"/>
    <cellStyle name="AggOrange9 6" xfId="490"/>
    <cellStyle name="AggOrangeLB_2x" xfId="491"/>
    <cellStyle name="AggOrangeLBorder" xfId="492"/>
    <cellStyle name="AggOrangeLBorder 2" xfId="493"/>
    <cellStyle name="AggOrangeLBorder 2 2" xfId="494"/>
    <cellStyle name="AggOrangeLBorder 2 2 2" xfId="495"/>
    <cellStyle name="AggOrangeLBorder 2 2 2 2" xfId="496"/>
    <cellStyle name="AggOrangeLBorder 2 2 3" xfId="497"/>
    <cellStyle name="AggOrangeLBorder 2 2 4" xfId="498"/>
    <cellStyle name="AggOrangeLBorder 2 3" xfId="499"/>
    <cellStyle name="AggOrangeLBorder 2 3 2" xfId="500"/>
    <cellStyle name="AggOrangeLBorder 2 3 2 2" xfId="501"/>
    <cellStyle name="AggOrangeLBorder 2 3 2 2 2" xfId="502"/>
    <cellStyle name="AggOrangeLBorder 2 3 2 3" xfId="503"/>
    <cellStyle name="AggOrangeLBorder 2 3 2 4" xfId="504"/>
    <cellStyle name="AggOrangeLBorder 2 3 3" xfId="505"/>
    <cellStyle name="AggOrangeLBorder 2 3 3 2" xfId="506"/>
    <cellStyle name="AggOrangeLBorder 2 3 3 2 2" xfId="507"/>
    <cellStyle name="AggOrangeLBorder 2 3 3 3" xfId="508"/>
    <cellStyle name="AggOrangeLBorder 2 3 3 4" xfId="509"/>
    <cellStyle name="AggOrangeLBorder 2 3 4" xfId="510"/>
    <cellStyle name="AggOrangeLBorder 2 3 4 2" xfId="511"/>
    <cellStyle name="AggOrangeLBorder 2 3 4 2 2" xfId="512"/>
    <cellStyle name="AggOrangeLBorder 2 3 4 3" xfId="513"/>
    <cellStyle name="AggOrangeLBorder 2 3 4 4" xfId="514"/>
    <cellStyle name="AggOrangeLBorder 2 3 5" xfId="515"/>
    <cellStyle name="AggOrangeLBorder 2 3 5 2" xfId="516"/>
    <cellStyle name="AggOrangeLBorder 2 3 6" xfId="517"/>
    <cellStyle name="AggOrangeLBorder 2 3 7" xfId="518"/>
    <cellStyle name="AggOrangeLBorder 2 4" xfId="519"/>
    <cellStyle name="AggOrangeLBorder 2 4 2" xfId="520"/>
    <cellStyle name="AggOrangeLBorder 2 5" xfId="521"/>
    <cellStyle name="AggOrangeLBorder 2 6" xfId="522"/>
    <cellStyle name="AggOrangeLBorder 3" xfId="523"/>
    <cellStyle name="AggOrangeLBorder 3 2" xfId="524"/>
    <cellStyle name="AggOrangeLBorder 3 2 2" xfId="525"/>
    <cellStyle name="AggOrangeLBorder 3 3" xfId="526"/>
    <cellStyle name="AggOrangeLBorder 3 4" xfId="527"/>
    <cellStyle name="AggOrangeLBorder 4" xfId="528"/>
    <cellStyle name="AggOrangeLBorder 4 2" xfId="529"/>
    <cellStyle name="AggOrangeLBorder 4 2 2" xfId="530"/>
    <cellStyle name="AggOrangeLBorder 4 2 2 2" xfId="531"/>
    <cellStyle name="AggOrangeLBorder 4 2 3" xfId="532"/>
    <cellStyle name="AggOrangeLBorder 4 2 4" xfId="533"/>
    <cellStyle name="AggOrangeLBorder 4 3" xfId="534"/>
    <cellStyle name="AggOrangeLBorder 4 3 2" xfId="535"/>
    <cellStyle name="AggOrangeLBorder 4 3 2 2" xfId="536"/>
    <cellStyle name="AggOrangeLBorder 4 3 3" xfId="537"/>
    <cellStyle name="AggOrangeLBorder 4 3 4" xfId="538"/>
    <cellStyle name="AggOrangeLBorder 4 4" xfId="539"/>
    <cellStyle name="AggOrangeLBorder 4 4 2" xfId="540"/>
    <cellStyle name="AggOrangeLBorder 4 4 2 2" xfId="541"/>
    <cellStyle name="AggOrangeLBorder 4 4 3" xfId="542"/>
    <cellStyle name="AggOrangeLBorder 4 4 4" xfId="543"/>
    <cellStyle name="AggOrangeLBorder 4 5" xfId="544"/>
    <cellStyle name="AggOrangeLBorder 4 5 2" xfId="545"/>
    <cellStyle name="AggOrangeLBorder 4 6" xfId="546"/>
    <cellStyle name="AggOrangeLBorder 4 7" xfId="547"/>
    <cellStyle name="AggOrangeLBorder 5" xfId="548"/>
    <cellStyle name="AggOrangeLBorder 5 2" xfId="549"/>
    <cellStyle name="AggOrangeLBorder 6" xfId="550"/>
    <cellStyle name="AggOrangeLBorder 7" xfId="551"/>
    <cellStyle name="AggOrangeRBorder" xfId="552"/>
    <cellStyle name="AggOrangeRBorder 2" xfId="553"/>
    <cellStyle name="AggOrangeRBorder 2 2" xfId="554"/>
    <cellStyle name="AggOrangeRBorder 2 2 2" xfId="555"/>
    <cellStyle name="AggOrangeRBorder 2 2 2 2" xfId="556"/>
    <cellStyle name="AggOrangeRBorder 2 2 2 2 2" xfId="557"/>
    <cellStyle name="AggOrangeRBorder 2 2 2 3" xfId="558"/>
    <cellStyle name="AggOrangeRBorder 2 2 2 4" xfId="559"/>
    <cellStyle name="AggOrangeRBorder 2 2 2 5" xfId="560"/>
    <cellStyle name="AggOrangeRBorder 2 2 3" xfId="561"/>
    <cellStyle name="AggOrangeRBorder 2 2 3 2" xfId="562"/>
    <cellStyle name="AggOrangeRBorder 2 2 4" xfId="563"/>
    <cellStyle name="AggOrangeRBorder 2 2 5" xfId="564"/>
    <cellStyle name="AggOrangeRBorder 2 2 6" xfId="565"/>
    <cellStyle name="AggOrangeRBorder 2 3" xfId="566"/>
    <cellStyle name="AggOrangeRBorder 2 3 2" xfId="567"/>
    <cellStyle name="AggOrangeRBorder 2 3 2 2" xfId="568"/>
    <cellStyle name="AggOrangeRBorder 2 3 2 2 2" xfId="569"/>
    <cellStyle name="AggOrangeRBorder 2 3 2 3" xfId="570"/>
    <cellStyle name="AggOrangeRBorder 2 3 2 4" xfId="571"/>
    <cellStyle name="AggOrangeRBorder 2 3 2 5" xfId="572"/>
    <cellStyle name="AggOrangeRBorder 2 3 3" xfId="573"/>
    <cellStyle name="AggOrangeRBorder 2 3 3 2" xfId="574"/>
    <cellStyle name="AggOrangeRBorder 2 3 3 2 2" xfId="575"/>
    <cellStyle name="AggOrangeRBorder 2 3 3 3" xfId="576"/>
    <cellStyle name="AggOrangeRBorder 2 3 3 4" xfId="577"/>
    <cellStyle name="AggOrangeRBorder 2 3 3 5" xfId="578"/>
    <cellStyle name="AggOrangeRBorder 2 3 4" xfId="579"/>
    <cellStyle name="AggOrangeRBorder 2 3 4 2" xfId="580"/>
    <cellStyle name="AggOrangeRBorder 2 3 4 2 2" xfId="581"/>
    <cellStyle name="AggOrangeRBorder 2 3 4 3" xfId="582"/>
    <cellStyle name="AggOrangeRBorder 2 3 4 4" xfId="583"/>
    <cellStyle name="AggOrangeRBorder 2 3 4 5" xfId="584"/>
    <cellStyle name="AggOrangeRBorder 2 3 5" xfId="585"/>
    <cellStyle name="AggOrangeRBorder 2 3 5 2" xfId="586"/>
    <cellStyle name="AggOrangeRBorder 2 3 6" xfId="587"/>
    <cellStyle name="AggOrangeRBorder 2 3 7" xfId="588"/>
    <cellStyle name="AggOrangeRBorder 2 3 8" xfId="589"/>
    <cellStyle name="AggOrangeRBorder 2 4" xfId="590"/>
    <cellStyle name="AggOrangeRBorder 2 4 2" xfId="591"/>
    <cellStyle name="AggOrangeRBorder 2 5" xfId="592"/>
    <cellStyle name="AggOrangeRBorder 2 6" xfId="593"/>
    <cellStyle name="AggOrangeRBorder 2 7" xfId="594"/>
    <cellStyle name="AggOrangeRBorder 3" xfId="595"/>
    <cellStyle name="AggOrangeRBorder 3 2" xfId="596"/>
    <cellStyle name="AggOrangeRBorder 3 2 2" xfId="597"/>
    <cellStyle name="AggOrangeRBorder 3 2 2 2" xfId="598"/>
    <cellStyle name="AggOrangeRBorder 3 2 3" xfId="599"/>
    <cellStyle name="AggOrangeRBorder 3 2 4" xfId="600"/>
    <cellStyle name="AggOrangeRBorder 3 2 5" xfId="601"/>
    <cellStyle name="AggOrangeRBorder 3 3" xfId="602"/>
    <cellStyle name="AggOrangeRBorder 3 3 2" xfId="603"/>
    <cellStyle name="AggOrangeRBorder 3 4" xfId="604"/>
    <cellStyle name="AggOrangeRBorder 3 5" xfId="605"/>
    <cellStyle name="AggOrangeRBorder 3 6" xfId="606"/>
    <cellStyle name="AggOrangeRBorder 4" xfId="607"/>
    <cellStyle name="AggOrangeRBorder 4 2" xfId="608"/>
    <cellStyle name="AggOrangeRBorder 4 2 2" xfId="609"/>
    <cellStyle name="AggOrangeRBorder 4 2 2 2" xfId="610"/>
    <cellStyle name="AggOrangeRBorder 4 2 3" xfId="611"/>
    <cellStyle name="AggOrangeRBorder 4 2 4" xfId="612"/>
    <cellStyle name="AggOrangeRBorder 4 2 5" xfId="613"/>
    <cellStyle name="AggOrangeRBorder 4 3" xfId="614"/>
    <cellStyle name="AggOrangeRBorder 4 3 2" xfId="615"/>
    <cellStyle name="AggOrangeRBorder 4 3 2 2" xfId="616"/>
    <cellStyle name="AggOrangeRBorder 4 3 3" xfId="617"/>
    <cellStyle name="AggOrangeRBorder 4 3 4" xfId="618"/>
    <cellStyle name="AggOrangeRBorder 4 3 5" xfId="619"/>
    <cellStyle name="AggOrangeRBorder 4 4" xfId="620"/>
    <cellStyle name="AggOrangeRBorder 4 4 2" xfId="621"/>
    <cellStyle name="AggOrangeRBorder 4 4 2 2" xfId="622"/>
    <cellStyle name="AggOrangeRBorder 4 4 3" xfId="623"/>
    <cellStyle name="AggOrangeRBorder 4 4 4" xfId="624"/>
    <cellStyle name="AggOrangeRBorder 4 4 5" xfId="625"/>
    <cellStyle name="AggOrangeRBorder 4 5" xfId="626"/>
    <cellStyle name="AggOrangeRBorder 4 5 2" xfId="627"/>
    <cellStyle name="AggOrangeRBorder 4 6" xfId="628"/>
    <cellStyle name="AggOrangeRBorder 4 7" xfId="629"/>
    <cellStyle name="AggOrangeRBorder 4 8" xfId="630"/>
    <cellStyle name="AggOrangeRBorder 5" xfId="631"/>
    <cellStyle name="AggOrangeRBorder 5 2" xfId="632"/>
    <cellStyle name="AggOrangeRBorder 6" xfId="633"/>
    <cellStyle name="AggOrangeRBorder 7" xfId="634"/>
    <cellStyle name="AggOrangeRBorder 8" xfId="635"/>
    <cellStyle name="AggOrangeRBorder_CRFReport-template" xfId="636"/>
    <cellStyle name="Akzent1" xfId="637"/>
    <cellStyle name="Akzent2" xfId="638"/>
    <cellStyle name="Akzent3" xfId="639"/>
    <cellStyle name="Akzent4" xfId="640"/>
    <cellStyle name="Akzent5" xfId="641"/>
    <cellStyle name="Akzent6" xfId="642"/>
    <cellStyle name="Anteckning" xfId="643"/>
    <cellStyle name="Anteckning 2" xfId="644"/>
    <cellStyle name="Anteckning 3" xfId="645"/>
    <cellStyle name="Ausgabe" xfId="646"/>
    <cellStyle name="Ausgabe 2" xfId="647"/>
    <cellStyle name="Ausgabe 2 2" xfId="648"/>
    <cellStyle name="Ausgabe 2 2 2" xfId="649"/>
    <cellStyle name="Ausgabe 2 2 3" xfId="650"/>
    <cellStyle name="Ausgabe 2 2 4" xfId="651"/>
    <cellStyle name="Ausgabe 2 2 5" xfId="652"/>
    <cellStyle name="Ausgabe 2 3" xfId="653"/>
    <cellStyle name="Ausgabe 2 3 2" xfId="654"/>
    <cellStyle name="Ausgabe 2 3 3" xfId="655"/>
    <cellStyle name="Ausgabe 2 3 4" xfId="656"/>
    <cellStyle name="Ausgabe 2 3 5" xfId="657"/>
    <cellStyle name="Ausgabe 2 4" xfId="658"/>
    <cellStyle name="Ausgabe 2 5" xfId="659"/>
    <cellStyle name="Ausgabe 2 6" xfId="660"/>
    <cellStyle name="Ausgabe 2 7" xfId="661"/>
    <cellStyle name="Ausgabe 3" xfId="662"/>
    <cellStyle name="Ausgabe 3 2" xfId="663"/>
    <cellStyle name="Ausgabe 3 2 2" xfId="664"/>
    <cellStyle name="Ausgabe 3 2 3" xfId="665"/>
    <cellStyle name="Ausgabe 3 2 4" xfId="666"/>
    <cellStyle name="Ausgabe 3 2 5" xfId="667"/>
    <cellStyle name="Ausgabe 3 3" xfId="668"/>
    <cellStyle name="Ausgabe 3 3 2" xfId="669"/>
    <cellStyle name="Ausgabe 3 3 3" xfId="670"/>
    <cellStyle name="Ausgabe 3 3 4" xfId="671"/>
    <cellStyle name="Ausgabe 3 3 5" xfId="672"/>
    <cellStyle name="Ausgabe 3 4" xfId="673"/>
    <cellStyle name="Ausgabe 3 5" xfId="674"/>
    <cellStyle name="Ausgabe 3 6" xfId="675"/>
    <cellStyle name="Ausgabe 3 7" xfId="676"/>
    <cellStyle name="Ausgabe 4" xfId="677"/>
    <cellStyle name="Ausgabe 4 2" xfId="678"/>
    <cellStyle name="Ausgabe 4 3" xfId="679"/>
    <cellStyle name="Ausgabe 4 4" xfId="680"/>
    <cellStyle name="Ausgabe 4 5" xfId="681"/>
    <cellStyle name="Ausgabe 5" xfId="682"/>
    <cellStyle name="Ausgabe 5 2" xfId="683"/>
    <cellStyle name="Ausgabe 5 3" xfId="684"/>
    <cellStyle name="Ausgabe 5 4" xfId="685"/>
    <cellStyle name="Ausgabe 5 5" xfId="686"/>
    <cellStyle name="Ausgabe 6" xfId="687"/>
    <cellStyle name="Avertissement 2" xfId="688"/>
    <cellStyle name="Bad" xfId="689"/>
    <cellStyle name="Bad 2" xfId="690"/>
    <cellStyle name="Bad 3" xfId="691"/>
    <cellStyle name="Bad 4" xfId="692"/>
    <cellStyle name="Beräkning" xfId="693"/>
    <cellStyle name="Beräkning 2" xfId="694"/>
    <cellStyle name="Berechnung" xfId="695"/>
    <cellStyle name="Berechnung 2" xfId="696"/>
    <cellStyle name="Berechnung 2 2" xfId="697"/>
    <cellStyle name="Berechnung 2 2 2" xfId="698"/>
    <cellStyle name="Berechnung 2 3" xfId="699"/>
    <cellStyle name="Berechnung 2 3 2" xfId="700"/>
    <cellStyle name="Berechnung 2 4" xfId="701"/>
    <cellStyle name="Berechnung 2 4 2" xfId="702"/>
    <cellStyle name="Berechnung 2 5" xfId="703"/>
    <cellStyle name="Berechnung 3" xfId="704"/>
    <cellStyle name="Berechnung 3 2" xfId="705"/>
    <cellStyle name="Berechnung 3 2 2" xfId="706"/>
    <cellStyle name="Berechnung 3 3" xfId="707"/>
    <cellStyle name="Berechnung 3 3 2" xfId="708"/>
    <cellStyle name="Berechnung 3 4" xfId="709"/>
    <cellStyle name="Berechnung 3 4 2" xfId="710"/>
    <cellStyle name="Berechnung 3 5" xfId="711"/>
    <cellStyle name="Berechnung 4" xfId="712"/>
    <cellStyle name="Berechnung 4 2" xfId="713"/>
    <cellStyle name="Berechnung 5" xfId="714"/>
    <cellStyle name="Berechnung 5 2" xfId="715"/>
    <cellStyle name="Berechnung 6" xfId="716"/>
    <cellStyle name="Berechnung 6 2" xfId="717"/>
    <cellStyle name="Berechnung 7" xfId="718"/>
    <cellStyle name="Bold GHG Numbers (0.00)" xfId="719"/>
    <cellStyle name="Bra" xfId="720"/>
    <cellStyle name="Calcul 2" xfId="721"/>
    <cellStyle name="Calcul 2 2" xfId="722"/>
    <cellStyle name="Calculation 2" xfId="723"/>
    <cellStyle name="Calculation 2 2" xfId="724"/>
    <cellStyle name="Calculation 2 2 2" xfId="725"/>
    <cellStyle name="Calculation 2 3" xfId="726"/>
    <cellStyle name="Calculation 2 3 2" xfId="727"/>
    <cellStyle name="Calculation 2 4" xfId="728"/>
    <cellStyle name="Calculation 2 4 2" xfId="729"/>
    <cellStyle name="Calculation 2 5" xfId="730"/>
    <cellStyle name="Calculation 3" xfId="731"/>
    <cellStyle name="Calculation 3 2" xfId="732"/>
    <cellStyle name="Calculation 3 2 2" xfId="733"/>
    <cellStyle name="Calculation 3 3" xfId="734"/>
    <cellStyle name="Calculation 3 3 2" xfId="735"/>
    <cellStyle name="Calculation 3 4" xfId="736"/>
    <cellStyle name="Calculation 3 4 2" xfId="737"/>
    <cellStyle name="Calculation 3 5" xfId="738"/>
    <cellStyle name="Cellule liée 2" xfId="739"/>
    <cellStyle name="Check Cell" xfId="740"/>
    <cellStyle name="Check Cell 2" xfId="741"/>
    <cellStyle name="Check Cell 3" xfId="742"/>
    <cellStyle name="Check Cell 4" xfId="743"/>
    <cellStyle name="classeur | commentaire" xfId="744"/>
    <cellStyle name="classeur | extraction | series | particulier" xfId="745"/>
    <cellStyle name="classeur | extraction | series | quinquenal" xfId="746"/>
    <cellStyle name="classeur | extraction | series | quinquenal 2" xfId="747"/>
    <cellStyle name="classeur | extraction | series | quinquenal 2 2" xfId="748"/>
    <cellStyle name="classeur | extraction | series | quinquenal 3" xfId="749"/>
    <cellStyle name="classeur | extraction | series | sept dernieres" xfId="750"/>
    <cellStyle name="classeur | extraction | series | sept dernieres 2" xfId="751"/>
    <cellStyle name="classeur | extraction | series | sept dernieres 2 2" xfId="752"/>
    <cellStyle name="classeur | extraction | series | sept dernieres 3" xfId="753"/>
    <cellStyle name="classeur | extraction | structure | dernier" xfId="754"/>
    <cellStyle name="classeur | extraction | structure | dernier 2" xfId="755"/>
    <cellStyle name="classeur | extraction | structure | dernier 2 2" xfId="756"/>
    <cellStyle name="classeur | extraction | structure | dernier 3" xfId="757"/>
    <cellStyle name="classeur | extraction | structure | deux derniers" xfId="758"/>
    <cellStyle name="classeur | extraction | structure | deux derniers 2" xfId="759"/>
    <cellStyle name="classeur | extraction | structure | deux derniers 2 2" xfId="760"/>
    <cellStyle name="classeur | extraction | structure | deux derniers 3" xfId="761"/>
    <cellStyle name="classeur | extraction | structure | particulier" xfId="762"/>
    <cellStyle name="classeur | historique" xfId="763"/>
    <cellStyle name="classeur | note | numero" xfId="764"/>
    <cellStyle name="classeur | note | numero 2" xfId="765"/>
    <cellStyle name="classeur | note | numero 2 2" xfId="766"/>
    <cellStyle name="classeur | note | numero 3" xfId="767"/>
    <cellStyle name="classeur | note | numero 4" xfId="768"/>
    <cellStyle name="classeur | note | numero 5" xfId="769"/>
    <cellStyle name="classeur | note | numero 6" xfId="770"/>
    <cellStyle name="classeur | note | texte" xfId="771"/>
    <cellStyle name="classeur | note | texte 2" xfId="772"/>
    <cellStyle name="classeur | note | texte 2 2" xfId="773"/>
    <cellStyle name="classeur | note | texte 3" xfId="774"/>
    <cellStyle name="classeur | note | texte 4" xfId="775"/>
    <cellStyle name="classeur | note | texte 5" xfId="776"/>
    <cellStyle name="classeur | note | texte 6" xfId="777"/>
    <cellStyle name="classeur | periodicite | annee scolaire" xfId="778"/>
    <cellStyle name="classeur | periodicite | annee scolaire 2" xfId="779"/>
    <cellStyle name="classeur | periodicite | annee scolaire 2 2" xfId="780"/>
    <cellStyle name="classeur | periodicite | annee scolaire 3" xfId="781"/>
    <cellStyle name="classeur | periodicite | annuelle" xfId="782"/>
    <cellStyle name="classeur | periodicite | annuelle 2" xfId="783"/>
    <cellStyle name="classeur | periodicite | annuelle 2 2" xfId="784"/>
    <cellStyle name="classeur | periodicite | annuelle 3" xfId="785"/>
    <cellStyle name="classeur | periodicite | autre" xfId="786"/>
    <cellStyle name="classeur | periodicite | autre 2" xfId="787"/>
    <cellStyle name="classeur | periodicite | autre 2 2" xfId="788"/>
    <cellStyle name="classeur | periodicite | autre 3" xfId="789"/>
    <cellStyle name="classeur | periodicite | bimestrielle" xfId="790"/>
    <cellStyle name="classeur | periodicite | bimestrielle 2" xfId="791"/>
    <cellStyle name="classeur | periodicite | bimestrielle 2 2" xfId="792"/>
    <cellStyle name="classeur | periodicite | bimestrielle 3" xfId="793"/>
    <cellStyle name="classeur | periodicite | mensuelle" xfId="794"/>
    <cellStyle name="classeur | periodicite | mensuelle 2" xfId="795"/>
    <cellStyle name="classeur | periodicite | mensuelle 2 2" xfId="796"/>
    <cellStyle name="classeur | periodicite | mensuelle 3" xfId="797"/>
    <cellStyle name="classeur | periodicite | semestrielle" xfId="798"/>
    <cellStyle name="classeur | periodicite | semestrielle 2" xfId="799"/>
    <cellStyle name="classeur | periodicite | semestrielle 2 2" xfId="800"/>
    <cellStyle name="classeur | periodicite | semestrielle 3" xfId="801"/>
    <cellStyle name="classeur | periodicite | trimestrielle" xfId="802"/>
    <cellStyle name="classeur | periodicite | trimestrielle 2" xfId="803"/>
    <cellStyle name="classeur | periodicite | trimestrielle 2 2" xfId="804"/>
    <cellStyle name="classeur | periodicite | trimestrielle 3" xfId="805"/>
    <cellStyle name="classeur | reference | aucune" xfId="806"/>
    <cellStyle name="classeur | reference | aucune 2" xfId="807"/>
    <cellStyle name="classeur | reference | aucune 2 2" xfId="808"/>
    <cellStyle name="classeur | reference | aucune 3" xfId="809"/>
    <cellStyle name="classeur | reference | tabl-series compose" xfId="810"/>
    <cellStyle name="classeur | reference | tabl-series compose 2" xfId="811"/>
    <cellStyle name="classeur | reference | tabl-series compose 2 2" xfId="812"/>
    <cellStyle name="classeur | reference | tabl-series compose 3" xfId="813"/>
    <cellStyle name="classeur | reference | tabl-series simple (particulier)" xfId="814"/>
    <cellStyle name="classeur | reference | tabl-series simple (particulier) 2" xfId="815"/>
    <cellStyle name="classeur | reference | tabl-series simple (particulier) 2 2" xfId="816"/>
    <cellStyle name="classeur | reference | tabl-series simple (particulier) 3" xfId="817"/>
    <cellStyle name="classeur | reference | tabl-series simple (standard)" xfId="818"/>
    <cellStyle name="classeur | reference | tabl-series simple (standard) 2" xfId="819"/>
    <cellStyle name="classeur | reference | tabl-series simple (standard) 2 2" xfId="820"/>
    <cellStyle name="classeur | reference | tabl-series simple (standard) 3" xfId="821"/>
    <cellStyle name="classeur | reference | tabl-structure (particulier)" xfId="822"/>
    <cellStyle name="classeur | reference | tabl-structure (particulier) 2" xfId="823"/>
    <cellStyle name="classeur | reference | tabl-structure (particulier) 2 2" xfId="824"/>
    <cellStyle name="classeur | reference | tabl-structure (particulier) 3" xfId="825"/>
    <cellStyle name="classeur | reference | tabl-structure (standard)" xfId="826"/>
    <cellStyle name="classeur | reference | tabl-structure (standard) 2" xfId="827"/>
    <cellStyle name="classeur | reference | tabl-structure (standard) 2 2" xfId="828"/>
    <cellStyle name="classeur | reference | tabl-structure (standard) 3" xfId="829"/>
    <cellStyle name="classeur | theme | intitule" xfId="830"/>
    <cellStyle name="classeur | theme | intitule 2" xfId="831"/>
    <cellStyle name="classeur | theme | intitule 2 2" xfId="832"/>
    <cellStyle name="classeur | theme | intitule 3" xfId="833"/>
    <cellStyle name="classeur | theme | notice explicative" xfId="834"/>
    <cellStyle name="classeur | theme | notice explicative 2" xfId="835"/>
    <cellStyle name="classeur | theme | notice explicative 2 2" xfId="836"/>
    <cellStyle name="classeur | theme | notice explicative 3" xfId="837"/>
    <cellStyle name="classeur | titre | niveau 1" xfId="838"/>
    <cellStyle name="classeur | titre | niveau 1 2" xfId="839"/>
    <cellStyle name="classeur | titre | niveau 1 2 2" xfId="840"/>
    <cellStyle name="classeur | titre | niveau 1 3" xfId="841"/>
    <cellStyle name="classeur | titre | niveau 1 4" xfId="842"/>
    <cellStyle name="classeur | titre | niveau 1 5" xfId="843"/>
    <cellStyle name="classeur | titre | niveau 2" xfId="844"/>
    <cellStyle name="classeur | titre | niveau 2 2" xfId="845"/>
    <cellStyle name="classeur | titre | niveau 2 2 2" xfId="846"/>
    <cellStyle name="classeur | titre | niveau 2 3" xfId="847"/>
    <cellStyle name="classeur | titre | niveau 2 4" xfId="848"/>
    <cellStyle name="classeur | titre | niveau 2 5" xfId="849"/>
    <cellStyle name="classeur | titre | niveau 3" xfId="850"/>
    <cellStyle name="classeur | titre | niveau 3 2" xfId="851"/>
    <cellStyle name="classeur | titre | niveau 3 2 2" xfId="852"/>
    <cellStyle name="classeur | titre | niveau 3 3" xfId="853"/>
    <cellStyle name="classeur | titre | niveau 3 4" xfId="854"/>
    <cellStyle name="classeur | titre | niveau 3 5" xfId="855"/>
    <cellStyle name="classeur | titre | niveau 4" xfId="856"/>
    <cellStyle name="classeur | titre | niveau 4 2" xfId="857"/>
    <cellStyle name="classeur | titre | niveau 4 2 2" xfId="858"/>
    <cellStyle name="classeur | titre | niveau 4 3" xfId="859"/>
    <cellStyle name="classeur | titre | niveau 4 4" xfId="860"/>
    <cellStyle name="classeur | titre | niveau 4 5" xfId="861"/>
    <cellStyle name="classeur | titre | niveau 5" xfId="862"/>
    <cellStyle name="classeur | titre | niveau 5 2" xfId="863"/>
    <cellStyle name="classeur | titre | niveau 5 2 2" xfId="864"/>
    <cellStyle name="classeur | titre | niveau 5 3" xfId="865"/>
    <cellStyle name="classeur | titre | niveau 5 4" xfId="866"/>
    <cellStyle name="classeur | titre | niveau 5 5" xfId="867"/>
    <cellStyle name="coin" xfId="868"/>
    <cellStyle name="coin 2" xfId="869"/>
    <cellStyle name="Comma [0]" xfId="870"/>
    <cellStyle name="Comma 2" xfId="871"/>
    <cellStyle name="Comma 2 2" xfId="872"/>
    <cellStyle name="Comma 2 2 2" xfId="873"/>
    <cellStyle name="Comma 2 2 3" xfId="874"/>
    <cellStyle name="Comma 3" xfId="875"/>
    <cellStyle name="Comma 3 2" xfId="876"/>
    <cellStyle name="Commentaire 2" xfId="877"/>
    <cellStyle name="Commentaire 2 2" xfId="878"/>
    <cellStyle name="Commentaire 2 2 2" xfId="879"/>
    <cellStyle name="Commentaire 2 3" xfId="880"/>
    <cellStyle name="Commentaire 2 4" xfId="881"/>
    <cellStyle name="ConditionalStyle_1" xfId="882"/>
    <cellStyle name="Constants" xfId="883"/>
    <cellStyle name="ContentsHyperlink" xfId="884"/>
    <cellStyle name="contenu_unite" xfId="885"/>
    <cellStyle name="Cover" xfId="886"/>
    <cellStyle name="Currency [0]" xfId="887"/>
    <cellStyle name="CustomCellsOrange" xfId="888"/>
    <cellStyle name="CustomCellsOrange 2" xfId="889"/>
    <cellStyle name="CustomCellsOrange 2 2" xfId="890"/>
    <cellStyle name="CustomCellsOrange 2 2 2" xfId="891"/>
    <cellStyle name="CustomCellsOrange 2 2 2 2" xfId="892"/>
    <cellStyle name="CustomCellsOrange 2 2 2 2 2" xfId="893"/>
    <cellStyle name="CustomCellsOrange 2 2 2 2 2 2" xfId="894"/>
    <cellStyle name="CustomCellsOrange 2 2 2 2 3" xfId="895"/>
    <cellStyle name="CustomCellsOrange 2 2 2 2 4" xfId="896"/>
    <cellStyle name="CustomCellsOrange 2 2 2 3" xfId="897"/>
    <cellStyle name="CustomCellsOrange 2 2 2 3 2" xfId="898"/>
    <cellStyle name="CustomCellsOrange 2 2 2 4" xfId="899"/>
    <cellStyle name="CustomCellsOrange 2 2 2 5" xfId="900"/>
    <cellStyle name="CustomCellsOrange 2 2 3" xfId="901"/>
    <cellStyle name="CustomCellsOrange 2 2 3 2" xfId="902"/>
    <cellStyle name="CustomCellsOrange 2 2 3 2 2" xfId="903"/>
    <cellStyle name="CustomCellsOrange 2 2 3 3" xfId="904"/>
    <cellStyle name="CustomCellsOrange 2 2 3 4" xfId="905"/>
    <cellStyle name="CustomCellsOrange 2 2 4" xfId="906"/>
    <cellStyle name="CustomCellsOrange 2 2 4 2" xfId="907"/>
    <cellStyle name="CustomCellsOrange 2 2 4 2 2" xfId="908"/>
    <cellStyle name="CustomCellsOrange 2 2 4 3" xfId="909"/>
    <cellStyle name="CustomCellsOrange 2 2 4 4" xfId="910"/>
    <cellStyle name="CustomCellsOrange 2 2 5" xfId="911"/>
    <cellStyle name="CustomCellsOrange 2 2 5 2" xfId="912"/>
    <cellStyle name="CustomCellsOrange 2 2 5 2 2" xfId="913"/>
    <cellStyle name="CustomCellsOrange 2 2 5 3" xfId="914"/>
    <cellStyle name="CustomCellsOrange 2 2 5 4" xfId="915"/>
    <cellStyle name="CustomCellsOrange 2 2 6" xfId="916"/>
    <cellStyle name="CustomCellsOrange 2 2 6 2" xfId="917"/>
    <cellStyle name="CustomCellsOrange 2 2 7" xfId="918"/>
    <cellStyle name="CustomCellsOrange 2 2 8" xfId="919"/>
    <cellStyle name="CustomCellsOrange 2 3" xfId="920"/>
    <cellStyle name="CustomCellsOrange 2 3 2" xfId="921"/>
    <cellStyle name="CustomCellsOrange 2 4" xfId="922"/>
    <cellStyle name="CustomCellsOrange 2 5" xfId="923"/>
    <cellStyle name="CustomCellsOrange 3" xfId="924"/>
    <cellStyle name="CustomCellsOrange 3 2" xfId="925"/>
    <cellStyle name="CustomCellsOrange 3 2 2" xfId="926"/>
    <cellStyle name="CustomCellsOrange 3 2 2 2" xfId="927"/>
    <cellStyle name="CustomCellsOrange 3 2 3" xfId="928"/>
    <cellStyle name="CustomCellsOrange 3 2 4" xfId="929"/>
    <cellStyle name="CustomCellsOrange 3 3" xfId="930"/>
    <cellStyle name="CustomCellsOrange 3 3 2" xfId="931"/>
    <cellStyle name="CustomCellsOrange 3 3 2 2" xfId="932"/>
    <cellStyle name="CustomCellsOrange 3 3 3" xfId="933"/>
    <cellStyle name="CustomCellsOrange 3 3 4" xfId="934"/>
    <cellStyle name="CustomCellsOrange 3 4" xfId="935"/>
    <cellStyle name="CustomCellsOrange 3 4 2" xfId="936"/>
    <cellStyle name="CustomCellsOrange 3 4 2 2" xfId="937"/>
    <cellStyle name="CustomCellsOrange 3 4 3" xfId="938"/>
    <cellStyle name="CustomCellsOrange 3 4 4" xfId="939"/>
    <cellStyle name="CustomCellsOrange 3 5" xfId="940"/>
    <cellStyle name="CustomCellsOrange 3 5 2" xfId="941"/>
    <cellStyle name="CustomCellsOrange 3 6" xfId="942"/>
    <cellStyle name="CustomCellsOrange 3 7" xfId="943"/>
    <cellStyle name="CustomCellsOrange 4" xfId="944"/>
    <cellStyle name="CustomCellsOrange 4 2" xfId="945"/>
    <cellStyle name="CustomCellsOrange 5" xfId="946"/>
    <cellStyle name="CustomCellsOrange 6" xfId="947"/>
    <cellStyle name="CustomizationCells" xfId="948"/>
    <cellStyle name="CustomizationCells 2" xfId="949"/>
    <cellStyle name="CustomizationCells 2 2" xfId="950"/>
    <cellStyle name="CustomizationCells 2 2 2" xfId="951"/>
    <cellStyle name="CustomizationCells 2 2 2 2" xfId="952"/>
    <cellStyle name="CustomizationCells 2 2 2 2 2" xfId="953"/>
    <cellStyle name="CustomizationCells 2 2 2 2 2 2" xfId="954"/>
    <cellStyle name="CustomizationCells 2 2 2 2 3" xfId="955"/>
    <cellStyle name="CustomizationCells 2 2 2 2 4" xfId="956"/>
    <cellStyle name="CustomizationCells 2 2 2 3" xfId="957"/>
    <cellStyle name="CustomizationCells 2 2 2 3 2" xfId="958"/>
    <cellStyle name="CustomizationCells 2 2 2 4" xfId="959"/>
    <cellStyle name="CustomizationCells 2 2 2 5" xfId="960"/>
    <cellStyle name="CustomizationCells 2 2 3" xfId="961"/>
    <cellStyle name="CustomizationCells 2 2 3 2" xfId="962"/>
    <cellStyle name="CustomizationCells 2 2 3 2 2" xfId="963"/>
    <cellStyle name="CustomizationCells 2 2 3 3" xfId="964"/>
    <cellStyle name="CustomizationCells 2 2 3 4" xfId="965"/>
    <cellStyle name="CustomizationCells 2 2 4" xfId="966"/>
    <cellStyle name="CustomizationCells 2 2 4 2" xfId="967"/>
    <cellStyle name="CustomizationCells 2 2 4 2 2" xfId="968"/>
    <cellStyle name="CustomizationCells 2 2 4 3" xfId="969"/>
    <cellStyle name="CustomizationCells 2 2 4 4" xfId="970"/>
    <cellStyle name="CustomizationCells 2 2 5" xfId="971"/>
    <cellStyle name="CustomizationCells 2 2 5 2" xfId="972"/>
    <cellStyle name="CustomizationCells 2 2 5 2 2" xfId="973"/>
    <cellStyle name="CustomizationCells 2 2 5 3" xfId="974"/>
    <cellStyle name="CustomizationCells 2 2 5 4" xfId="975"/>
    <cellStyle name="CustomizationCells 2 2 6" xfId="976"/>
    <cellStyle name="CustomizationCells 2 2 6 2" xfId="977"/>
    <cellStyle name="CustomizationCells 2 2 7" xfId="978"/>
    <cellStyle name="CustomizationCells 2 2 8" xfId="979"/>
    <cellStyle name="CustomizationCells 2 3" xfId="980"/>
    <cellStyle name="CustomizationCells 2 3 2" xfId="981"/>
    <cellStyle name="CustomizationCells 2 4" xfId="982"/>
    <cellStyle name="CustomizationCells 2 5" xfId="983"/>
    <cellStyle name="CustomizationCells 3" xfId="984"/>
    <cellStyle name="CustomizationCells 3 2" xfId="985"/>
    <cellStyle name="CustomizationCells 3 2 2" xfId="986"/>
    <cellStyle name="CustomizationCells 3 2 2 2" xfId="987"/>
    <cellStyle name="CustomizationCells 3 2 3" xfId="988"/>
    <cellStyle name="CustomizationCells 3 2 4" xfId="989"/>
    <cellStyle name="CustomizationCells 3 3" xfId="990"/>
    <cellStyle name="CustomizationCells 3 3 2" xfId="991"/>
    <cellStyle name="CustomizationCells 3 3 2 2" xfId="992"/>
    <cellStyle name="CustomizationCells 3 3 3" xfId="993"/>
    <cellStyle name="CustomizationCells 3 3 4" xfId="994"/>
    <cellStyle name="CustomizationCells 3 4" xfId="995"/>
    <cellStyle name="CustomizationCells 3 4 2" xfId="996"/>
    <cellStyle name="CustomizationCells 3 4 2 2" xfId="997"/>
    <cellStyle name="CustomizationCells 3 4 3" xfId="998"/>
    <cellStyle name="CustomizationCells 3 4 4" xfId="999"/>
    <cellStyle name="CustomizationCells 3 5" xfId="1000"/>
    <cellStyle name="CustomizationCells 3 5 2" xfId="1001"/>
    <cellStyle name="CustomizationCells 3 6" xfId="1002"/>
    <cellStyle name="CustomizationCells 3 7" xfId="1003"/>
    <cellStyle name="CustomizationCells 4" xfId="1004"/>
    <cellStyle name="CustomizationCells 4 2" xfId="1005"/>
    <cellStyle name="CustomizationCells 5" xfId="1006"/>
    <cellStyle name="CustomizationCells 6" xfId="1007"/>
    <cellStyle name="CustomizationGreenCells" xfId="1008"/>
    <cellStyle name="CustomizationGreenCells 2" xfId="1009"/>
    <cellStyle name="CustomizationGreenCells 2 2" xfId="1010"/>
    <cellStyle name="CustomizationGreenCells 2 2 2" xfId="1011"/>
    <cellStyle name="CustomizationGreenCells 2 3" xfId="1012"/>
    <cellStyle name="CustomizationGreenCells 3" xfId="1013"/>
    <cellStyle name="CustomizationGreenCells 3 2" xfId="1014"/>
    <cellStyle name="CustomizationGreenCells 3 2 2" xfId="1015"/>
    <cellStyle name="CustomizationGreenCells 3 2 2 2" xfId="1016"/>
    <cellStyle name="CustomizationGreenCells 3 2 3" xfId="1017"/>
    <cellStyle name="CustomizationGreenCells 3 3" xfId="1018"/>
    <cellStyle name="CustomizationGreenCells 3 3 2" xfId="1019"/>
    <cellStyle name="CustomizationGreenCells 3 3 2 2" xfId="1020"/>
    <cellStyle name="CustomizationGreenCells 3 3 3" xfId="1021"/>
    <cellStyle name="CustomizationGreenCells 3 4" xfId="1022"/>
    <cellStyle name="CustomizationGreenCells 3 4 2" xfId="1023"/>
    <cellStyle name="CustomizationGreenCells 3 4 2 2" xfId="1024"/>
    <cellStyle name="CustomizationGreenCells 3 4 3" xfId="1025"/>
    <cellStyle name="CustomizationGreenCells 3 5" xfId="1026"/>
    <cellStyle name="CustomizationGreenCells 3 5 2" xfId="1027"/>
    <cellStyle name="CustomizationGreenCells 3 6" xfId="1028"/>
    <cellStyle name="CustomizationGreenCells 4" xfId="1029"/>
    <cellStyle name="CustomizationGreenCells 4 2" xfId="1030"/>
    <cellStyle name="CustomizationGreenCells 5" xfId="1031"/>
    <cellStyle name="Dålig" xfId="1032"/>
    <cellStyle name="Date" xfId="1033"/>
    <cellStyle name="DocBox_EmptyRow" xfId="1034"/>
    <cellStyle name="donn_normal" xfId="1035"/>
    <cellStyle name="donnnormal1" xfId="1036"/>
    <cellStyle name="donnnormal1 2" xfId="1037"/>
    <cellStyle name="donnnormal2" xfId="1038"/>
    <cellStyle name="donnnormal2 2" xfId="1039"/>
    <cellStyle name="donnnormal3" xfId="1040"/>
    <cellStyle name="donnnormal3 2" xfId="1041"/>
    <cellStyle name="donnnormal4" xfId="1042"/>
    <cellStyle name="donnnormal4 2" xfId="1043"/>
    <cellStyle name="donntotal1" xfId="1044"/>
    <cellStyle name="donntotal1 2" xfId="1045"/>
    <cellStyle name="donntotal2" xfId="1046"/>
    <cellStyle name="donntotal2 2" xfId="1047"/>
    <cellStyle name="donntotal3" xfId="1048"/>
    <cellStyle name="donntotal3 2" xfId="1049"/>
    <cellStyle name="donntotal4" xfId="1050"/>
    <cellStyle name="donntotal4 2" xfId="1051"/>
    <cellStyle name="Eingabe" xfId="1052"/>
    <cellStyle name="Eingabe 2" xfId="1053"/>
    <cellStyle name="Eingabe 3" xfId="1054"/>
    <cellStyle name="Eingabe 3 2" xfId="1055"/>
    <cellStyle name="Eingabe 3 2 2" xfId="1056"/>
    <cellStyle name="Eingabe 3 3" xfId="1057"/>
    <cellStyle name="Eingabe 3 3 2" xfId="1058"/>
    <cellStyle name="Eingabe 3 4" xfId="1059"/>
    <cellStyle name="Eingabe 3 4 2" xfId="1060"/>
    <cellStyle name="Eingabe 3 5" xfId="1061"/>
    <cellStyle name="Eingabe 4" xfId="1062"/>
    <cellStyle name="Eingabe 4 2" xfId="1063"/>
    <cellStyle name="Eingabe 4 2 2" xfId="1064"/>
    <cellStyle name="Eingabe 4 3" xfId="1065"/>
    <cellStyle name="Eingabe 4 3 2" xfId="1066"/>
    <cellStyle name="Eingabe 4 4" xfId="1067"/>
    <cellStyle name="Eingabe 4 4 2" xfId="1068"/>
    <cellStyle name="Eingabe 4 5" xfId="1069"/>
    <cellStyle name="Eingabe 5" xfId="1070"/>
    <cellStyle name="Eingabe 5 2" xfId="1071"/>
    <cellStyle name="Eingabe 6" xfId="1072"/>
    <cellStyle name="Eingabe 6 2" xfId="1073"/>
    <cellStyle name="Eingabe 7" xfId="1074"/>
    <cellStyle name="Eingabe 7 2" xfId="1075"/>
    <cellStyle name="Eingabe 8" xfId="1076"/>
    <cellStyle name="Empty_B_border" xfId="1077"/>
    <cellStyle name="ent_col_ser" xfId="1078"/>
    <cellStyle name="En-tête 1" xfId="1079"/>
    <cellStyle name="En-tête 2" xfId="1080"/>
    <cellStyle name="entete_indice" xfId="1081"/>
    <cellStyle name="Entrée 2" xfId="1082"/>
    <cellStyle name="Entrée 2 2" xfId="1083"/>
    <cellStyle name="Ergebnis" xfId="1084"/>
    <cellStyle name="Ergebnis 2" xfId="1085"/>
    <cellStyle name="Ergebnis 2 2" xfId="1086"/>
    <cellStyle name="Ergebnis 2 2 2" xfId="1087"/>
    <cellStyle name="Ergebnis 2 3" xfId="1088"/>
    <cellStyle name="Ergebnis 2 3 2" xfId="1089"/>
    <cellStyle name="Ergebnis 2 4" xfId="1090"/>
    <cellStyle name="Ergebnis 2 4 2" xfId="1091"/>
    <cellStyle name="Ergebnis 2 5" xfId="1092"/>
    <cellStyle name="Ergebnis 3" xfId="1093"/>
    <cellStyle name="Ergebnis 3 2" xfId="1094"/>
    <cellStyle name="Ergebnis 3 2 2" xfId="1095"/>
    <cellStyle name="Ergebnis 3 3" xfId="1096"/>
    <cellStyle name="Ergebnis 3 3 2" xfId="1097"/>
    <cellStyle name="Ergebnis 3 4" xfId="1098"/>
    <cellStyle name="Ergebnis 3 4 2" xfId="1099"/>
    <cellStyle name="Ergebnis 3 5" xfId="1100"/>
    <cellStyle name="Ergebnis 4" xfId="1101"/>
    <cellStyle name="Ergebnis 4 2" xfId="1102"/>
    <cellStyle name="Ergebnis 5" xfId="1103"/>
    <cellStyle name="Ergebnis 5 2" xfId="1104"/>
    <cellStyle name="Ergebnis 6" xfId="1105"/>
    <cellStyle name="Ergebnis 6 2" xfId="1106"/>
    <cellStyle name="Ergebnis 7" xfId="1107"/>
    <cellStyle name="Erklärender Text" xfId="1108"/>
    <cellStyle name="Erklärender Text 2" xfId="1109"/>
    <cellStyle name="Erklärender Text 3" xfId="1110"/>
    <cellStyle name="Euro" xfId="1111"/>
    <cellStyle name="Euro 2" xfId="1112"/>
    <cellStyle name="Excel Built-in Normal" xfId="1113"/>
    <cellStyle name="Explanatory Text" xfId="1114"/>
    <cellStyle name="Explanatory Text 2" xfId="1115"/>
    <cellStyle name="Explanatory Text 3" xfId="1116"/>
    <cellStyle name="Ezres [0]_Ques_15-19_4.1" xfId="1117"/>
    <cellStyle name="Ezres_Ques_15-19_4.1" xfId="1118"/>
    <cellStyle name="F2" xfId="1119"/>
    <cellStyle name="F3" xfId="1120"/>
    <cellStyle name="F4" xfId="1121"/>
    <cellStyle name="F5" xfId="1122"/>
    <cellStyle name="F6" xfId="1123"/>
    <cellStyle name="F7" xfId="1124"/>
    <cellStyle name="F8" xfId="1125"/>
    <cellStyle name="Färg1" xfId="1126"/>
    <cellStyle name="Färg2" xfId="1127"/>
    <cellStyle name="Färg3" xfId="1128"/>
    <cellStyle name="Färg4" xfId="1129"/>
    <cellStyle name="Färg5" xfId="1130"/>
    <cellStyle name="Färg6" xfId="1131"/>
    <cellStyle name="Financier0" xfId="1132"/>
    <cellStyle name="Förklarande text" xfId="1133"/>
    <cellStyle name="Good" xfId="1134"/>
    <cellStyle name="Good 2" xfId="1135"/>
    <cellStyle name="Good 3" xfId="1136"/>
    <cellStyle name="Good 4" xfId="1137"/>
    <cellStyle name="Gut" xfId="1138"/>
    <cellStyle name="Heading 1" xfId="1139"/>
    <cellStyle name="Heading 1 2" xfId="1140"/>
    <cellStyle name="Heading 1 3" xfId="1141"/>
    <cellStyle name="Heading 1 4" xfId="1142"/>
    <cellStyle name="Heading 2" xfId="1143"/>
    <cellStyle name="Heading 2 2" xfId="1144"/>
    <cellStyle name="Heading 2 3" xfId="1145"/>
    <cellStyle name="Heading 2 4" xfId="1146"/>
    <cellStyle name="Heading 3" xfId="1147"/>
    <cellStyle name="Heading 3 2" xfId="1148"/>
    <cellStyle name="Heading 3 3" xfId="1149"/>
    <cellStyle name="Heading 3 4" xfId="1150"/>
    <cellStyle name="Heading 4" xfId="1151"/>
    <cellStyle name="Heading 4 2" xfId="1152"/>
    <cellStyle name="Heading 4 3" xfId="1153"/>
    <cellStyle name="Heading 4 4" xfId="1154"/>
    <cellStyle name="Headline" xfId="1155"/>
    <cellStyle name="Hyperlink 2" xfId="1156"/>
    <cellStyle name="Indata" xfId="1157"/>
    <cellStyle name="Indata 2" xfId="1158"/>
    <cellStyle name="indice" xfId="1159"/>
    <cellStyle name="Input 2" xfId="1160"/>
    <cellStyle name="Input 2 2" xfId="1161"/>
    <cellStyle name="Input 2 2 2" xfId="1162"/>
    <cellStyle name="Input 2 3" xfId="1163"/>
    <cellStyle name="Input 2 3 2" xfId="1164"/>
    <cellStyle name="Input 2 4" xfId="1165"/>
    <cellStyle name="Input 2 4 2" xfId="1166"/>
    <cellStyle name="Input 2 5" xfId="1167"/>
    <cellStyle name="Input 3" xfId="1168"/>
    <cellStyle name="Input 3 2" xfId="1169"/>
    <cellStyle name="Input 3 2 2" xfId="1170"/>
    <cellStyle name="Input 3 3" xfId="1171"/>
    <cellStyle name="Input 3 3 2" xfId="1172"/>
    <cellStyle name="Input 3 4" xfId="1173"/>
    <cellStyle name="Input 3 4 2" xfId="1174"/>
    <cellStyle name="Input 3 5" xfId="1175"/>
    <cellStyle name="Input 4" xfId="1176"/>
    <cellStyle name="InputCells" xfId="1177"/>
    <cellStyle name="InputCells 2" xfId="1178"/>
    <cellStyle name="InputCells 3" xfId="1179"/>
    <cellStyle name="InputCells 4" xfId="1180"/>
    <cellStyle name="InputCells_Bborder_1" xfId="1181"/>
    <cellStyle name="InputCells12" xfId="1182"/>
    <cellStyle name="InputCells12 2" xfId="1183"/>
    <cellStyle name="InputCells12 2 2" xfId="1184"/>
    <cellStyle name="InputCells12 2 2 2" xfId="1185"/>
    <cellStyle name="InputCells12 2 2 2 2" xfId="1186"/>
    <cellStyle name="InputCells12 2 2 2 2 2" xfId="1187"/>
    <cellStyle name="InputCells12 2 2 2 3" xfId="1188"/>
    <cellStyle name="InputCells12 2 2 3" xfId="1189"/>
    <cellStyle name="InputCells12 2 2 3 2" xfId="1190"/>
    <cellStyle name="InputCells12 2 2 4" xfId="1191"/>
    <cellStyle name="InputCells12 2 3" xfId="1192"/>
    <cellStyle name="InputCells12 2 3 2" xfId="1193"/>
    <cellStyle name="InputCells12 2 3 2 2" xfId="1194"/>
    <cellStyle name="InputCells12 2 3 2 2 2" xfId="1195"/>
    <cellStyle name="InputCells12 2 3 2 3" xfId="1196"/>
    <cellStyle name="InputCells12 2 3 3" xfId="1197"/>
    <cellStyle name="InputCells12 2 3 3 2" xfId="1198"/>
    <cellStyle name="InputCells12 2 3 3 2 2" xfId="1199"/>
    <cellStyle name="InputCells12 2 3 3 3" xfId="1200"/>
    <cellStyle name="InputCells12 2 3 4" xfId="1201"/>
    <cellStyle name="InputCells12 2 3 4 2" xfId="1202"/>
    <cellStyle name="InputCells12 2 3 4 2 2" xfId="1203"/>
    <cellStyle name="InputCells12 2 3 4 3" xfId="1204"/>
    <cellStyle name="InputCells12 2 3 5" xfId="1205"/>
    <cellStyle name="InputCells12 2 3 5 2" xfId="1206"/>
    <cellStyle name="InputCells12 2 3 6" xfId="1207"/>
    <cellStyle name="InputCells12 2 4" xfId="1208"/>
    <cellStyle name="InputCells12 2 4 2" xfId="1209"/>
    <cellStyle name="InputCells12 2 5" xfId="1210"/>
    <cellStyle name="InputCells12 3" xfId="1211"/>
    <cellStyle name="InputCells12 3 2" xfId="1212"/>
    <cellStyle name="InputCells12 3 2 2" xfId="1213"/>
    <cellStyle name="InputCells12 3 2 2 2" xfId="1214"/>
    <cellStyle name="InputCells12 3 2 3" xfId="1215"/>
    <cellStyle name="InputCells12 3 3" xfId="1216"/>
    <cellStyle name="InputCells12 3 3 2" xfId="1217"/>
    <cellStyle name="InputCells12 3 4" xfId="1218"/>
    <cellStyle name="InputCells12 4" xfId="1219"/>
    <cellStyle name="InputCells12 4 2" xfId="1220"/>
    <cellStyle name="InputCells12 4 2 2" xfId="1221"/>
    <cellStyle name="InputCells12 4 2 2 2" xfId="1222"/>
    <cellStyle name="InputCells12 4 2 3" xfId="1223"/>
    <cellStyle name="InputCells12 4 3" xfId="1224"/>
    <cellStyle name="InputCells12 4 3 2" xfId="1225"/>
    <cellStyle name="InputCells12 4 3 2 2" xfId="1226"/>
    <cellStyle name="InputCells12 4 3 3" xfId="1227"/>
    <cellStyle name="InputCells12 4 4" xfId="1228"/>
    <cellStyle name="InputCells12 4 4 2" xfId="1229"/>
    <cellStyle name="InputCells12 4 4 2 2" xfId="1230"/>
    <cellStyle name="InputCells12 4 4 3" xfId="1231"/>
    <cellStyle name="InputCells12 4 5" xfId="1232"/>
    <cellStyle name="InputCells12 4 5 2" xfId="1233"/>
    <cellStyle name="InputCells12 4 6" xfId="1234"/>
    <cellStyle name="InputCells12 5" xfId="1235"/>
    <cellStyle name="InputCells12 5 2" xfId="1236"/>
    <cellStyle name="InputCells12 6" xfId="1237"/>
    <cellStyle name="InputCells12_BBorder" xfId="1238"/>
    <cellStyle name="Insatisfaisant 2" xfId="1239"/>
    <cellStyle name="IntCells" xfId="1240"/>
    <cellStyle name="Kontrollcell" xfId="1241"/>
    <cellStyle name="KP_thin_border_dark_grey" xfId="1242"/>
    <cellStyle name="Länkad cell" xfId="1243"/>
    <cellStyle name="Lien hypertexte" xfId="3" builtinId="8"/>
    <cellStyle name="Lien hypertexte 2" xfId="1244"/>
    <cellStyle name="Lien hypertexte 2 2" xfId="1245"/>
    <cellStyle name="Lien hypertexte 3" xfId="1246"/>
    <cellStyle name="Lien hypertexte 4" xfId="1247"/>
    <cellStyle name="Lien hypertexte 5" xfId="1248"/>
    <cellStyle name="Lien hypertexte 6" xfId="1249"/>
    <cellStyle name="Ligne détail" xfId="1250"/>
    <cellStyle name="ligne_titre_0" xfId="1251"/>
    <cellStyle name="Linked Cell 2" xfId="1252"/>
    <cellStyle name="Linked Cell 3" xfId="1253"/>
    <cellStyle name="Linked Cell 4" xfId="1254"/>
    <cellStyle name="Menu" xfId="1255"/>
    <cellStyle name="Milliers" xfId="1" builtinId="3"/>
    <cellStyle name="Milliers 2" xfId="1256"/>
    <cellStyle name="Milliers 3" xfId="1257"/>
    <cellStyle name="Milliers 4" xfId="1258"/>
    <cellStyle name="Milliers 5" xfId="1259"/>
    <cellStyle name="Milliers 6" xfId="1260"/>
    <cellStyle name="Milliers 7" xfId="1261"/>
    <cellStyle name="Milliers 8" xfId="1262"/>
    <cellStyle name="Monétaire 2" xfId="1263"/>
    <cellStyle name="Monétaire 3" xfId="1264"/>
    <cellStyle name="Monétaire 4" xfId="1265"/>
    <cellStyle name="Monétaire 5" xfId="1266"/>
    <cellStyle name="Monétaire 6" xfId="1267"/>
    <cellStyle name="Monétaire0" xfId="1268"/>
    <cellStyle name="Neutral" xfId="1269"/>
    <cellStyle name="Neutral 2" xfId="1270"/>
    <cellStyle name="Neutral 3" xfId="1271"/>
    <cellStyle name="Neutre 2" xfId="1272"/>
    <cellStyle name="Normaali 2" xfId="1273"/>
    <cellStyle name="Normaali 2 2" xfId="1274"/>
    <cellStyle name="Normal" xfId="0" builtinId="0"/>
    <cellStyle name="Normal 10" xfId="1275"/>
    <cellStyle name="Normal 10 2" xfId="1276"/>
    <cellStyle name="Normal 10 3" xfId="1277"/>
    <cellStyle name="Normal 11" xfId="1278"/>
    <cellStyle name="Normal 11 2" xfId="1279"/>
    <cellStyle name="Normal 12" xfId="1280"/>
    <cellStyle name="Normal 12 2" xfId="1281"/>
    <cellStyle name="Normal 13" xfId="1282"/>
    <cellStyle name="Normal 13 2" xfId="1283"/>
    <cellStyle name="Normal 14" xfId="1284"/>
    <cellStyle name="Normal 15" xfId="1285"/>
    <cellStyle name="Normal 16" xfId="1286"/>
    <cellStyle name="Normal 17" xfId="1287"/>
    <cellStyle name="Normal 18" xfId="1288"/>
    <cellStyle name="Normal 19" xfId="1289"/>
    <cellStyle name="Normal 2" xfId="1290"/>
    <cellStyle name="Normal 2 2" xfId="1291"/>
    <cellStyle name="Normal 2 2 2" xfId="1292"/>
    <cellStyle name="Normal 2 3" xfId="1293"/>
    <cellStyle name="Normal 2 3 2" xfId="1294"/>
    <cellStyle name="Normal 2 4" xfId="1295"/>
    <cellStyle name="Normal 2 5" xfId="1296"/>
    <cellStyle name="Normal 2 6" xfId="1297"/>
    <cellStyle name="Normal 2 7" xfId="1298"/>
    <cellStyle name="Normal 2 8" xfId="1299"/>
    <cellStyle name="Normal 20" xfId="1300"/>
    <cellStyle name="Normal 21" xfId="1301"/>
    <cellStyle name="Normal 22" xfId="1302"/>
    <cellStyle name="Normal 23" xfId="1303"/>
    <cellStyle name="Normal 24" xfId="1304"/>
    <cellStyle name="Normal 25" xfId="1305"/>
    <cellStyle name="Normal 26" xfId="1306"/>
    <cellStyle name="Normal 27" xfId="1307"/>
    <cellStyle name="Normal 28" xfId="1308"/>
    <cellStyle name="Normal 29" xfId="1309"/>
    <cellStyle name="Normal 3" xfId="1310"/>
    <cellStyle name="Normal 3 2" xfId="1311"/>
    <cellStyle name="Normal 3 2 2" xfId="1312"/>
    <cellStyle name="Normal 3 2 3" xfId="1313"/>
    <cellStyle name="Normal 3 3" xfId="1314"/>
    <cellStyle name="Normal 3 3 2" xfId="1315"/>
    <cellStyle name="Normal 3 4" xfId="1316"/>
    <cellStyle name="Normal 3 5" xfId="1317"/>
    <cellStyle name="Normal 3 6" xfId="1318"/>
    <cellStyle name="Normal 3 7" xfId="1319"/>
    <cellStyle name="Normal 3 8" xfId="1320"/>
    <cellStyle name="Normal 30" xfId="1321"/>
    <cellStyle name="Normal 31" xfId="1322"/>
    <cellStyle name="Normal 32" xfId="1323"/>
    <cellStyle name="Normal 32 2" xfId="1324"/>
    <cellStyle name="Normal 33" xfId="1325"/>
    <cellStyle name="Normal 4" xfId="1326"/>
    <cellStyle name="Normal 4 2" xfId="1327"/>
    <cellStyle name="Normal 4 2 2" xfId="1328"/>
    <cellStyle name="Normal 4 2 3" xfId="1329"/>
    <cellStyle name="Normal 4 3" xfId="1330"/>
    <cellStyle name="Normal 4 3 2" xfId="1331"/>
    <cellStyle name="Normal 4 4" xfId="1332"/>
    <cellStyle name="Normal 5" xfId="1333"/>
    <cellStyle name="Normal 5 2" xfId="1334"/>
    <cellStyle name="Normal 5 2 2" xfId="1335"/>
    <cellStyle name="Normal 5 2 2 2" xfId="1336"/>
    <cellStyle name="Normal 5 2 2 2 2" xfId="1337"/>
    <cellStyle name="Normal 5 2 2 2 2 2" xfId="1338"/>
    <cellStyle name="Normal 5 2 2 2 3" xfId="1339"/>
    <cellStyle name="Normal 5 2 2 3" xfId="1340"/>
    <cellStyle name="Normal 5 2 2 3 2" xfId="1341"/>
    <cellStyle name="Normal 5 2 2 4" xfId="1342"/>
    <cellStyle name="Normal 5 2 3" xfId="1343"/>
    <cellStyle name="Normal 5 2 3 2" xfId="1344"/>
    <cellStyle name="Normal 5 2 3 2 2" xfId="1345"/>
    <cellStyle name="Normal 5 2 3 3" xfId="1346"/>
    <cellStyle name="Normal 5 2 4" xfId="1347"/>
    <cellStyle name="Normal 5 2 4 2" xfId="1348"/>
    <cellStyle name="Normal 5 2 5" xfId="1349"/>
    <cellStyle name="Normal 5 2 5 2" xfId="1350"/>
    <cellStyle name="Normal 5 2 6" xfId="1351"/>
    <cellStyle name="Normal 5 3" xfId="1352"/>
    <cellStyle name="Normal 5 3 2" xfId="1353"/>
    <cellStyle name="Normal 5 3 2 2" xfId="1354"/>
    <cellStyle name="Normal 5 3 2 2 2" xfId="1355"/>
    <cellStyle name="Normal 5 3 2 3" xfId="1356"/>
    <cellStyle name="Normal 5 3 3" xfId="1357"/>
    <cellStyle name="Normal 5 3 3 2" xfId="1358"/>
    <cellStyle name="Normal 5 3 4" xfId="1359"/>
    <cellStyle name="Normal 5 4" xfId="1360"/>
    <cellStyle name="Normal 5 4 2" xfId="1361"/>
    <cellStyle name="Normal 5 4 2 2" xfId="1362"/>
    <cellStyle name="Normal 5 4 3" xfId="1363"/>
    <cellStyle name="Normal 5 5" xfId="1364"/>
    <cellStyle name="Normal 5 5 2" xfId="1365"/>
    <cellStyle name="Normal 5 6" xfId="1366"/>
    <cellStyle name="Normal 5 7" xfId="1367"/>
    <cellStyle name="Normal 5 8" xfId="1368"/>
    <cellStyle name="Normal 6" xfId="1369"/>
    <cellStyle name="Normal 6 10" xfId="1370"/>
    <cellStyle name="Normal 6 10 2" xfId="1371"/>
    <cellStyle name="Normal 6 11" xfId="1372"/>
    <cellStyle name="Normal 6 12" xfId="1373"/>
    <cellStyle name="Normal 6 2" xfId="1374"/>
    <cellStyle name="Normal 6 2 2" xfId="1375"/>
    <cellStyle name="Normal 6 2 2 2" xfId="1376"/>
    <cellStyle name="Normal 6 2 2 2 2" xfId="1377"/>
    <cellStyle name="Normal 6 2 2 2 2 2" xfId="1378"/>
    <cellStyle name="Normal 6 2 2 2 3" xfId="1379"/>
    <cellStyle name="Normal 6 2 2 3" xfId="1380"/>
    <cellStyle name="Normal 6 2 2 3 2" xfId="1381"/>
    <cellStyle name="Normal 6 2 2 4" xfId="1382"/>
    <cellStyle name="Normal 6 2 3" xfId="1383"/>
    <cellStyle name="Normal 6 2 3 2" xfId="1384"/>
    <cellStyle name="Normal 6 2 3 2 2" xfId="1385"/>
    <cellStyle name="Normal 6 2 3 3" xfId="1386"/>
    <cellStyle name="Normal 6 2 4" xfId="1387"/>
    <cellStyle name="Normal 6 2 4 2" xfId="1388"/>
    <cellStyle name="Normal 6 2 5" xfId="1389"/>
    <cellStyle name="Normal 6 2 5 2" xfId="1390"/>
    <cellStyle name="Normal 6 2 6" xfId="1391"/>
    <cellStyle name="Normal 6 3" xfId="1392"/>
    <cellStyle name="Normal 6 3 2" xfId="1393"/>
    <cellStyle name="Normal 6 3 2 2" xfId="1394"/>
    <cellStyle name="Normal 6 3 2 2 2" xfId="1395"/>
    <cellStyle name="Normal 6 3 2 2 2 2" xfId="1396"/>
    <cellStyle name="Normal 6 3 2 2 3" xfId="1397"/>
    <cellStyle name="Normal 6 3 2 3" xfId="1398"/>
    <cellStyle name="Normal 6 3 2 3 2" xfId="1399"/>
    <cellStyle name="Normal 6 3 2 4" xfId="1400"/>
    <cellStyle name="Normal 6 3 3" xfId="1401"/>
    <cellStyle name="Normal 6 3 3 2" xfId="1402"/>
    <cellStyle name="Normal 6 3 3 2 2" xfId="1403"/>
    <cellStyle name="Normal 6 3 3 3" xfId="1404"/>
    <cellStyle name="Normal 6 3 4" xfId="1405"/>
    <cellStyle name="Normal 6 3 4 2" xfId="1406"/>
    <cellStyle name="Normal 6 3 5" xfId="1407"/>
    <cellStyle name="Normal 6 4" xfId="1408"/>
    <cellStyle name="Normal 6 4 2" xfId="1409"/>
    <cellStyle name="Normal 6 4 2 2" xfId="1410"/>
    <cellStyle name="Normal 6 4 2 2 2" xfId="1411"/>
    <cellStyle name="Normal 6 4 2 3" xfId="1412"/>
    <cellStyle name="Normal 6 4 3" xfId="1413"/>
    <cellStyle name="Normal 6 4 3 2" xfId="1414"/>
    <cellStyle name="Normal 6 4 4" xfId="1415"/>
    <cellStyle name="Normal 6 5" xfId="1416"/>
    <cellStyle name="Normal 6 5 2" xfId="1417"/>
    <cellStyle name="Normal 6 5 2 2" xfId="1418"/>
    <cellStyle name="Normal 6 5 3" xfId="1419"/>
    <cellStyle name="Normal 6 6" xfId="1420"/>
    <cellStyle name="Normal 6 6 2" xfId="1421"/>
    <cellStyle name="Normal 6 7" xfId="1422"/>
    <cellStyle name="Normal 6 7 2" xfId="1423"/>
    <cellStyle name="Normal 6 8" xfId="1424"/>
    <cellStyle name="Normal 6 8 2" xfId="1425"/>
    <cellStyle name="Normal 6 9" xfId="1426"/>
    <cellStyle name="Normal 6 9 2" xfId="1427"/>
    <cellStyle name="Normal 7" xfId="1428"/>
    <cellStyle name="Normal 7 10" xfId="1429"/>
    <cellStyle name="Normal 7 11" xfId="1430"/>
    <cellStyle name="Normal 7 2" xfId="1431"/>
    <cellStyle name="Normal 7 2 2" xfId="1432"/>
    <cellStyle name="Normal 7 2 2 2" xfId="1433"/>
    <cellStyle name="Normal 7 2 2 2 2" xfId="1434"/>
    <cellStyle name="Normal 7 2 2 2 2 2" xfId="1435"/>
    <cellStyle name="Normal 7 2 2 2 3" xfId="1436"/>
    <cellStyle name="Normal 7 2 2 3" xfId="1437"/>
    <cellStyle name="Normal 7 2 2 3 2" xfId="1438"/>
    <cellStyle name="Normal 7 2 2 4" xfId="1439"/>
    <cellStyle name="Normal 7 2 3" xfId="1440"/>
    <cellStyle name="Normal 7 2 3 2" xfId="1441"/>
    <cellStyle name="Normal 7 2 3 2 2" xfId="1442"/>
    <cellStyle name="Normal 7 2 3 3" xfId="1443"/>
    <cellStyle name="Normal 7 2 4" xfId="1444"/>
    <cellStyle name="Normal 7 2 4 2" xfId="1445"/>
    <cellStyle name="Normal 7 2 5" xfId="1446"/>
    <cellStyle name="Normal 7 2 5 2" xfId="1447"/>
    <cellStyle name="Normal 7 2 6" xfId="1448"/>
    <cellStyle name="Normal 7 3" xfId="1449"/>
    <cellStyle name="Normal 7 3 2" xfId="1450"/>
    <cellStyle name="Normal 7 3 2 2" xfId="1451"/>
    <cellStyle name="Normal 7 3 2 2 2" xfId="1452"/>
    <cellStyle name="Normal 7 3 2 3" xfId="1453"/>
    <cellStyle name="Normal 7 3 3" xfId="1454"/>
    <cellStyle name="Normal 7 3 3 2" xfId="1455"/>
    <cellStyle name="Normal 7 3 4" xfId="1456"/>
    <cellStyle name="Normal 7 4" xfId="1457"/>
    <cellStyle name="Normal 7 4 2" xfId="1458"/>
    <cellStyle name="Normal 7 4 2 2" xfId="1459"/>
    <cellStyle name="Normal 7 4 3" xfId="1460"/>
    <cellStyle name="Normal 7 5" xfId="1461"/>
    <cellStyle name="Normal 7 5 2" xfId="1462"/>
    <cellStyle name="Normal 7 6" xfId="1463"/>
    <cellStyle name="Normal 7 7" xfId="1464"/>
    <cellStyle name="Normal 7 8" xfId="1465"/>
    <cellStyle name="Normal 7 9" xfId="1466"/>
    <cellStyle name="Normal 8" xfId="1467"/>
    <cellStyle name="Normal 8 2" xfId="1468"/>
    <cellStyle name="Normal 8 2 2" xfId="1469"/>
    <cellStyle name="Normal 8 3" xfId="1470"/>
    <cellStyle name="Normal 9" xfId="1471"/>
    <cellStyle name="Normal 9 2" xfId="1472"/>
    <cellStyle name="Normal GHG Numbers (0.00)" xfId="1473"/>
    <cellStyle name="Normal GHG Numbers (0.00) 2" xfId="1474"/>
    <cellStyle name="Normal GHG Numbers (0.00) 2 2" xfId="1475"/>
    <cellStyle name="Normal GHG Numbers (0.00) 2 3" xfId="1476"/>
    <cellStyle name="Normal GHG Numbers (0.00) 3" xfId="1477"/>
    <cellStyle name="Normal GHG Numbers (0.00) 3 2" xfId="1478"/>
    <cellStyle name="Normal GHG Numbers (0.00) 3 2 2" xfId="1479"/>
    <cellStyle name="Normal GHG Numbers (0.00) 3 2 2 2" xfId="1480"/>
    <cellStyle name="Normal GHG Numbers (0.00) 3 2 2 2 2" xfId="1481"/>
    <cellStyle name="Normal GHG Numbers (0.00) 3 2 2 3" xfId="1482"/>
    <cellStyle name="Normal GHG Numbers (0.00) 3 2 3" xfId="1483"/>
    <cellStyle name="Normal GHG Numbers (0.00) 3 2 3 2" xfId="1484"/>
    <cellStyle name="Normal GHG Numbers (0.00) 3 2 4" xfId="1485"/>
    <cellStyle name="Normal GHG Numbers (0.00) 3 3" xfId="1486"/>
    <cellStyle name="Normal GHG Numbers (0.00) 3 3 2" xfId="1487"/>
    <cellStyle name="Normal GHG Numbers (0.00) 3 3 2 2" xfId="1488"/>
    <cellStyle name="Normal GHG Numbers (0.00) 3 3 2 2 2" xfId="1489"/>
    <cellStyle name="Normal GHG Numbers (0.00) 3 3 2 3" xfId="1490"/>
    <cellStyle name="Normal GHG Numbers (0.00) 3 3 3" xfId="1491"/>
    <cellStyle name="Normal GHG Numbers (0.00) 3 3 3 2" xfId="1492"/>
    <cellStyle name="Normal GHG Numbers (0.00) 3 3 3 2 2" xfId="1493"/>
    <cellStyle name="Normal GHG Numbers (0.00) 3 3 3 3" xfId="1494"/>
    <cellStyle name="Normal GHG Numbers (0.00) 3 3 4" xfId="1495"/>
    <cellStyle name="Normal GHG Numbers (0.00) 3 3 4 2" xfId="1496"/>
    <cellStyle name="Normal GHG Numbers (0.00) 3 3 4 2 2" xfId="1497"/>
    <cellStyle name="Normal GHG Numbers (0.00) 3 3 4 3" xfId="1498"/>
    <cellStyle name="Normal GHG Numbers (0.00) 3 3 5" xfId="1499"/>
    <cellStyle name="Normal GHG Numbers (0.00) 3 3 5 2" xfId="1500"/>
    <cellStyle name="Normal GHG Numbers (0.00) 3 3 6" xfId="1501"/>
    <cellStyle name="Normal GHG Numbers (0.00) 3 4" xfId="1502"/>
    <cellStyle name="Normal GHG Numbers (0.00) 3 4 2" xfId="1503"/>
    <cellStyle name="Normal GHG Numbers (0.00) 3 5" xfId="1504"/>
    <cellStyle name="Normal GHG Numbers (0.00) 4" xfId="1505"/>
    <cellStyle name="Normal GHG Numbers (0.00) 5" xfId="1506"/>
    <cellStyle name="Normal GHG Numbers (0.00) 6" xfId="1507"/>
    <cellStyle name="Normal GHG Textfiels Bold" xfId="1508"/>
    <cellStyle name="Normal GHG Textfiels Bold 2" xfId="1509"/>
    <cellStyle name="Normal GHG Textfiels Bold 3" xfId="1510"/>
    <cellStyle name="Normal GHG Textfiels Bold 3 2" xfId="1511"/>
    <cellStyle name="Normal GHG Textfiels Bold 3 2 2" xfId="1512"/>
    <cellStyle name="Normal GHG Textfiels Bold 3 2 2 2" xfId="1513"/>
    <cellStyle name="Normal GHG Textfiels Bold 3 2 2 2 2" xfId="1514"/>
    <cellStyle name="Normal GHG Textfiels Bold 3 2 2 3" xfId="1515"/>
    <cellStyle name="Normal GHG Textfiels Bold 3 2 3" xfId="1516"/>
    <cellStyle name="Normal GHG Textfiels Bold 3 2 3 2" xfId="1517"/>
    <cellStyle name="Normal GHG Textfiels Bold 3 2 4" xfId="1518"/>
    <cellStyle name="Normal GHG Textfiels Bold 3 3" xfId="1519"/>
    <cellStyle name="Normal GHG Textfiels Bold 3 3 2" xfId="1520"/>
    <cellStyle name="Normal GHG Textfiels Bold 3 3 2 2" xfId="1521"/>
    <cellStyle name="Normal GHG Textfiels Bold 3 3 2 2 2" xfId="1522"/>
    <cellStyle name="Normal GHG Textfiels Bold 3 3 2 3" xfId="1523"/>
    <cellStyle name="Normal GHG Textfiels Bold 3 3 3" xfId="1524"/>
    <cellStyle name="Normal GHG Textfiels Bold 3 3 3 2" xfId="1525"/>
    <cellStyle name="Normal GHG Textfiels Bold 3 3 3 2 2" xfId="1526"/>
    <cellStyle name="Normal GHG Textfiels Bold 3 3 3 3" xfId="1527"/>
    <cellStyle name="Normal GHG Textfiels Bold 3 3 4" xfId="1528"/>
    <cellStyle name="Normal GHG Textfiels Bold 3 3 4 2" xfId="1529"/>
    <cellStyle name="Normal GHG Textfiels Bold 3 3 4 2 2" xfId="1530"/>
    <cellStyle name="Normal GHG Textfiels Bold 3 3 4 3" xfId="1531"/>
    <cellStyle name="Normal GHG Textfiels Bold 3 3 5" xfId="1532"/>
    <cellStyle name="Normal GHG Textfiels Bold 3 3 5 2" xfId="1533"/>
    <cellStyle name="Normal GHG Textfiels Bold 3 3 6" xfId="1534"/>
    <cellStyle name="Normal GHG Textfiels Bold 3 4" xfId="1535"/>
    <cellStyle name="Normal GHG Textfiels Bold 3 4 2" xfId="1536"/>
    <cellStyle name="Normal GHG Textfiels Bold 3 5" xfId="1537"/>
    <cellStyle name="Normal GHG whole table" xfId="1538"/>
    <cellStyle name="Normal GHG whole table 2" xfId="1539"/>
    <cellStyle name="Normal GHG whole table 2 2" xfId="1540"/>
    <cellStyle name="Normal GHG whole table 2 2 2" xfId="1541"/>
    <cellStyle name="Normal GHG whole table 2 2 2 2" xfId="1542"/>
    <cellStyle name="Normal GHG whole table 2 2 3" xfId="1543"/>
    <cellStyle name="Normal GHG whole table 2 3" xfId="1544"/>
    <cellStyle name="Normal GHG whole table 2 3 2" xfId="1545"/>
    <cellStyle name="Normal GHG whole table 2 4" xfId="1546"/>
    <cellStyle name="Normal GHG whole table 3" xfId="1547"/>
    <cellStyle name="Normal GHG whole table 3 2" xfId="1548"/>
    <cellStyle name="Normal GHG whole table 3 2 2" xfId="1549"/>
    <cellStyle name="Normal GHG whole table 3 2 2 2" xfId="1550"/>
    <cellStyle name="Normal GHG whole table 3 2 3" xfId="1551"/>
    <cellStyle name="Normal GHG whole table 3 3" xfId="1552"/>
    <cellStyle name="Normal GHG whole table 3 3 2" xfId="1553"/>
    <cellStyle name="Normal GHG whole table 3 3 2 2" xfId="1554"/>
    <cellStyle name="Normal GHG whole table 3 3 3" xfId="1555"/>
    <cellStyle name="Normal GHG whole table 3 4" xfId="1556"/>
    <cellStyle name="Normal GHG whole table 3 4 2" xfId="1557"/>
    <cellStyle name="Normal GHG whole table 3 4 2 2" xfId="1558"/>
    <cellStyle name="Normal GHG whole table 3 4 3" xfId="1559"/>
    <cellStyle name="Normal GHG whole table 3 5" xfId="1560"/>
    <cellStyle name="Normal GHG whole table 3 5 2" xfId="1561"/>
    <cellStyle name="Normal GHG whole table 3 6" xfId="1562"/>
    <cellStyle name="Normal GHG whole table 4" xfId="1563"/>
    <cellStyle name="Normal GHG whole table 4 2" xfId="1564"/>
    <cellStyle name="Normal GHG whole table 5" xfId="1565"/>
    <cellStyle name="Normal GHG-Shade" xfId="1566"/>
    <cellStyle name="Normal GHG-Shade 2" xfId="1567"/>
    <cellStyle name="Normal GHG-Shade 2 2" xfId="1568"/>
    <cellStyle name="Normal GHG-Shade 2 3" xfId="1569"/>
    <cellStyle name="Normal GHG-Shade 2 4" xfId="1570"/>
    <cellStyle name="Normal GHG-Shade 2 5" xfId="1571"/>
    <cellStyle name="Normal GHG-Shade 3" xfId="1572"/>
    <cellStyle name="Normal GHG-Shade 3 2" xfId="1573"/>
    <cellStyle name="Normal GHG-Shade 4" xfId="1574"/>
    <cellStyle name="Normal GHG-Shade 4 2" xfId="1575"/>
    <cellStyle name="Normál_constant00" xfId="1576"/>
    <cellStyle name="Normale" xfId="1577"/>
    <cellStyle name="Normalny_Input-Output B 95" xfId="1578"/>
    <cellStyle name="note" xfId="1579"/>
    <cellStyle name="Note 2" xfId="1580"/>
    <cellStyle name="Note 2 2" xfId="1581"/>
    <cellStyle name="Note 2 2 2" xfId="1582"/>
    <cellStyle name="Note 2 3" xfId="1583"/>
    <cellStyle name="Note 2 3 2" xfId="1584"/>
    <cellStyle name="Note 2 4" xfId="1585"/>
    <cellStyle name="Note 2 4 2" xfId="1586"/>
    <cellStyle name="Note 2 5" xfId="1587"/>
    <cellStyle name="Note 3" xfId="1588"/>
    <cellStyle name="Note 3 2" xfId="1589"/>
    <cellStyle name="Note 3 2 2" xfId="1590"/>
    <cellStyle name="Note 3 3" xfId="1591"/>
    <cellStyle name="Note 3 3 2" xfId="1592"/>
    <cellStyle name="Note 3 4" xfId="1593"/>
    <cellStyle name="Note 3 4 2" xfId="1594"/>
    <cellStyle name="Note 3 5" xfId="1595"/>
    <cellStyle name="notice_theme" xfId="1596"/>
    <cellStyle name="Notiz" xfId="1597"/>
    <cellStyle name="Notiz 2" xfId="1598"/>
    <cellStyle name="Notiz 2 2" xfId="1599"/>
    <cellStyle name="Notiz 3" xfId="1600"/>
    <cellStyle name="Notiz 3 2" xfId="1601"/>
    <cellStyle name="Notiz 4" xfId="1602"/>
    <cellStyle name="Notiz 4 2" xfId="1603"/>
    <cellStyle name="Notiz 5" xfId="1604"/>
    <cellStyle name="num_note" xfId="1605"/>
    <cellStyle name="Output" xfId="1606"/>
    <cellStyle name="Output 2" xfId="1607"/>
    <cellStyle name="Output 2 2" xfId="1608"/>
    <cellStyle name="Output 2 2 2" xfId="1609"/>
    <cellStyle name="Output 2 2 3" xfId="1610"/>
    <cellStyle name="Output 2 2 4" xfId="1611"/>
    <cellStyle name="Output 2 3" xfId="1612"/>
    <cellStyle name="Output 2 3 2" xfId="1613"/>
    <cellStyle name="Output 2 3 3" xfId="1614"/>
    <cellStyle name="Output 2 3 4" xfId="1615"/>
    <cellStyle name="Output 2 4" xfId="1616"/>
    <cellStyle name="Output 2 5" xfId="1617"/>
    <cellStyle name="Output 2 6" xfId="1618"/>
    <cellStyle name="Output 3" xfId="1619"/>
    <cellStyle name="Output 3 2" xfId="1620"/>
    <cellStyle name="Output 3 2 2" xfId="1621"/>
    <cellStyle name="Output 3 2 3" xfId="1622"/>
    <cellStyle name="Output 3 2 4" xfId="1623"/>
    <cellStyle name="Output 3 3" xfId="1624"/>
    <cellStyle name="Output 3 3 2" xfId="1625"/>
    <cellStyle name="Output 3 3 3" xfId="1626"/>
    <cellStyle name="Output 3 3 4" xfId="1627"/>
    <cellStyle name="Output 3 4" xfId="1628"/>
    <cellStyle name="Output 3 5" xfId="1629"/>
    <cellStyle name="Output 3 6" xfId="1630"/>
    <cellStyle name="Output 4" xfId="1631"/>
    <cellStyle name="Output 5" xfId="1632"/>
    <cellStyle name="Output 6" xfId="1633"/>
    <cellStyle name="Pattern" xfId="1634"/>
    <cellStyle name="Pattern 2" xfId="1635"/>
    <cellStyle name="Pattern 2 2" xfId="1636"/>
    <cellStyle name="Pattern 2 2 2" xfId="1637"/>
    <cellStyle name="Pattern 2 2 2 2" xfId="1638"/>
    <cellStyle name="Pattern 2 2 3" xfId="1639"/>
    <cellStyle name="Pattern 2 3" xfId="1640"/>
    <cellStyle name="Pattern 2 4" xfId="1641"/>
    <cellStyle name="Pattern 2 5" xfId="1642"/>
    <cellStyle name="Pattern 3" xfId="1643"/>
    <cellStyle name="Pattern 3 2" xfId="1644"/>
    <cellStyle name="Pattern 3 2 2" xfId="1645"/>
    <cellStyle name="Pattern 3 2 2 2" xfId="1646"/>
    <cellStyle name="Pattern 3 2 3" xfId="1647"/>
    <cellStyle name="Pattern 3 3" xfId="1648"/>
    <cellStyle name="Pattern 3 3 2" xfId="1649"/>
    <cellStyle name="Pattern 3 3 2 2" xfId="1650"/>
    <cellStyle name="Pattern 3 3 3" xfId="1651"/>
    <cellStyle name="Pattern 3 4" xfId="1652"/>
    <cellStyle name="Pattern 3 4 2" xfId="1653"/>
    <cellStyle name="Pattern 3 4 2 2" xfId="1654"/>
    <cellStyle name="Pattern 3 4 3" xfId="1655"/>
    <cellStyle name="Pattern 3 5" xfId="1656"/>
    <cellStyle name="Pattern 3 5 2" xfId="1657"/>
    <cellStyle name="Pattern 3 6" xfId="1658"/>
    <cellStyle name="Pattern 4" xfId="1659"/>
    <cellStyle name="Pattern 5" xfId="1660"/>
    <cellStyle name="Pattern 6" xfId="1661"/>
    <cellStyle name="Pénznem [0]_Ques_15-19_4.1" xfId="1662"/>
    <cellStyle name="Pénznem_Ques_15-19_4.1" xfId="1663"/>
    <cellStyle name="Percent 2" xfId="1664"/>
    <cellStyle name="Percent 2 2" xfId="1665"/>
    <cellStyle name="Pourcentage" xfId="2" builtinId="5"/>
    <cellStyle name="Pourcentage 2" xfId="1666"/>
    <cellStyle name="Pourcentage 2 2" xfId="1667"/>
    <cellStyle name="Pourcentage 3" xfId="1668"/>
    <cellStyle name="Pourcentage 4" xfId="1669"/>
    <cellStyle name="Pourcentage 5" xfId="1670"/>
    <cellStyle name="Pourcentage 6" xfId="1671"/>
    <cellStyle name="Pourcentage 7" xfId="1672"/>
    <cellStyle name="RowLevel_1 2" xfId="1673"/>
    <cellStyle name="Rubrik" xfId="1674"/>
    <cellStyle name="Rubrik 1" xfId="1675"/>
    <cellStyle name="Rubrik 2" xfId="1676"/>
    <cellStyle name="Rubrik 3" xfId="1677"/>
    <cellStyle name="Rubrik 4" xfId="1678"/>
    <cellStyle name="Satisfaisant 2" xfId="1679"/>
    <cellStyle name="Schlecht" xfId="1680"/>
    <cellStyle name="Shade" xfId="1681"/>
    <cellStyle name="Shade 2" xfId="1682"/>
    <cellStyle name="Shade 2 2" xfId="1683"/>
    <cellStyle name="Shade 2 2 2" xfId="1684"/>
    <cellStyle name="Shade 2 2 2 2" xfId="1685"/>
    <cellStyle name="Shade 2 2 2 2 2" xfId="1686"/>
    <cellStyle name="Shade 2 2 2 3" xfId="1687"/>
    <cellStyle name="Shade 2 2 3" xfId="1688"/>
    <cellStyle name="Shade 2 2 3 2" xfId="1689"/>
    <cellStyle name="Shade 2 2 4" xfId="1690"/>
    <cellStyle name="Shade 2 3" xfId="1691"/>
    <cellStyle name="Shade 2 3 2" xfId="1692"/>
    <cellStyle name="Shade 2 3 2 2" xfId="1693"/>
    <cellStyle name="Shade 2 3 2 2 2" xfId="1694"/>
    <cellStyle name="Shade 2 3 2 3" xfId="1695"/>
    <cellStyle name="Shade 2 3 3" xfId="1696"/>
    <cellStyle name="Shade 2 3 3 2" xfId="1697"/>
    <cellStyle name="Shade 2 3 3 2 2" xfId="1698"/>
    <cellStyle name="Shade 2 3 3 3" xfId="1699"/>
    <cellStyle name="Shade 2 3 4" xfId="1700"/>
    <cellStyle name="Shade 2 3 4 2" xfId="1701"/>
    <cellStyle name="Shade 2 3 4 2 2" xfId="1702"/>
    <cellStyle name="Shade 2 3 4 3" xfId="1703"/>
    <cellStyle name="Shade 2 3 5" xfId="1704"/>
    <cellStyle name="Shade 2 3 5 2" xfId="1705"/>
    <cellStyle name="Shade 2 3 6" xfId="1706"/>
    <cellStyle name="Shade 2 4" xfId="1707"/>
    <cellStyle name="Shade 2 4 2" xfId="1708"/>
    <cellStyle name="Shade 2 5" xfId="1709"/>
    <cellStyle name="Shade 3" xfId="1710"/>
    <cellStyle name="Shade 3 2" xfId="1711"/>
    <cellStyle name="Shade 3 2 2" xfId="1712"/>
    <cellStyle name="Shade 3 2 2 2" xfId="1713"/>
    <cellStyle name="Shade 3 2 3" xfId="1714"/>
    <cellStyle name="Shade 3 3" xfId="1715"/>
    <cellStyle name="Shade 3 3 2" xfId="1716"/>
    <cellStyle name="Shade 3 4" xfId="1717"/>
    <cellStyle name="Shade 4" xfId="1718"/>
    <cellStyle name="Shade 4 2" xfId="1719"/>
    <cellStyle name="Shade 4 2 2" xfId="1720"/>
    <cellStyle name="Shade 4 2 2 2" xfId="1721"/>
    <cellStyle name="Shade 4 2 3" xfId="1722"/>
    <cellStyle name="Shade 4 3" xfId="1723"/>
    <cellStyle name="Shade 4 3 2" xfId="1724"/>
    <cellStyle name="Shade 4 3 2 2" xfId="1725"/>
    <cellStyle name="Shade 4 3 3" xfId="1726"/>
    <cellStyle name="Shade 4 4" xfId="1727"/>
    <cellStyle name="Shade 4 4 2" xfId="1728"/>
    <cellStyle name="Shade 4 4 2 2" xfId="1729"/>
    <cellStyle name="Shade 4 4 3" xfId="1730"/>
    <cellStyle name="Shade 4 5" xfId="1731"/>
    <cellStyle name="Shade 4 5 2" xfId="1732"/>
    <cellStyle name="Shade 4 6" xfId="1733"/>
    <cellStyle name="Shade 5" xfId="1734"/>
    <cellStyle name="Shade 5 2" xfId="1735"/>
    <cellStyle name="Shade 6" xfId="1736"/>
    <cellStyle name="Shade_B_border2" xfId="1737"/>
    <cellStyle name="Sortie 2" xfId="1738"/>
    <cellStyle name="Sortie 2 2" xfId="1739"/>
    <cellStyle name="Sortie 2 3" xfId="1740"/>
    <cellStyle name="Sortie 2 4" xfId="1741"/>
    <cellStyle name="source" xfId="1742"/>
    <cellStyle name="Standaard_TABLEX7" xfId="1743"/>
    <cellStyle name="Standaard2" xfId="1744"/>
    <cellStyle name="Standard 2" xfId="1745"/>
    <cellStyle name="Standard 2 2" xfId="1746"/>
    <cellStyle name="Standard 2 2 2" xfId="1747"/>
    <cellStyle name="Standard 2 3" xfId="1748"/>
    <cellStyle name="Standard_huSUT2000_revised_current" xfId="1749"/>
    <cellStyle name="Summa" xfId="1750"/>
    <cellStyle name="Summa 2" xfId="1751"/>
    <cellStyle name="tableau | cellule | (normal) | decimal 1" xfId="1752"/>
    <cellStyle name="tableau | cellule | (normal) | decimal 1 2" xfId="1753"/>
    <cellStyle name="tableau | cellule | (normal) | decimal 2" xfId="1754"/>
    <cellStyle name="tableau | cellule | (normal) | decimal 2 2" xfId="1755"/>
    <cellStyle name="tableau | cellule | (normal) | decimal 3" xfId="1756"/>
    <cellStyle name="tableau | cellule | (normal) | decimal 3 2" xfId="1757"/>
    <cellStyle name="tableau | cellule | (normal) | decimal 4" xfId="1758"/>
    <cellStyle name="tableau | cellule | (normal) | decimal 4 2" xfId="1759"/>
    <cellStyle name="tableau | cellule | (normal) | entier" xfId="1760"/>
    <cellStyle name="tableau | cellule | (normal) | entier 2" xfId="1761"/>
    <cellStyle name="tableau | cellule | (normal) | euro | decimal 1" xfId="1762"/>
    <cellStyle name="tableau | cellule | (normal) | euro | decimal 1 2" xfId="1763"/>
    <cellStyle name="tableau | cellule | (normal) | euro | decimal 2" xfId="1764"/>
    <cellStyle name="tableau | cellule | (normal) | euro | decimal 2 2" xfId="1765"/>
    <cellStyle name="tableau | cellule | (normal) | euro | entier" xfId="1766"/>
    <cellStyle name="tableau | cellule | (normal) | euro | entier 2" xfId="1767"/>
    <cellStyle name="tableau | cellule | (normal) | franc | decimal 1" xfId="1768"/>
    <cellStyle name="tableau | cellule | (normal) | franc | decimal 1 2" xfId="1769"/>
    <cellStyle name="tableau | cellule | (normal) | franc | decimal 2" xfId="1770"/>
    <cellStyle name="tableau | cellule | (normal) | franc | decimal 2 2" xfId="1771"/>
    <cellStyle name="tableau | cellule | (normal) | franc | entier" xfId="1772"/>
    <cellStyle name="tableau | cellule | (normal) | franc | entier 2" xfId="1773"/>
    <cellStyle name="tableau | cellule | (normal) | pourcentage | decimal 1" xfId="1774"/>
    <cellStyle name="tableau | cellule | (normal) | pourcentage | decimal 1 2" xfId="1775"/>
    <cellStyle name="tableau | cellule | (normal) | pourcentage | decimal 2" xfId="1776"/>
    <cellStyle name="tableau | cellule | (normal) | pourcentage | decimal 2 2" xfId="1777"/>
    <cellStyle name="tableau | cellule | (normal) | pourcentage | entier" xfId="1778"/>
    <cellStyle name="tableau | cellule | (normal) | pourcentage | entier 2" xfId="1779"/>
    <cellStyle name="tableau | cellule | (normal) | standard" xfId="1780"/>
    <cellStyle name="tableau | cellule | (normal) | standard 2" xfId="1781"/>
    <cellStyle name="tableau | cellule | (normal) | texte" xfId="1782"/>
    <cellStyle name="tableau | cellule | (normal) | texte 2" xfId="1783"/>
    <cellStyle name="tableau | cellule | (total) | decimal 1" xfId="1784"/>
    <cellStyle name="tableau | cellule | (total) | decimal 1 2" xfId="1785"/>
    <cellStyle name="tableau | cellule | (total) | decimal 2" xfId="1786"/>
    <cellStyle name="tableau | cellule | (total) | decimal 2 2" xfId="1787"/>
    <cellStyle name="tableau | cellule | (total) | decimal 3" xfId="1788"/>
    <cellStyle name="tableau | cellule | (total) | decimal 3 2" xfId="1789"/>
    <cellStyle name="tableau | cellule | (total) | decimal 4" xfId="1790"/>
    <cellStyle name="tableau | cellule | (total) | decimal 4 2" xfId="1791"/>
    <cellStyle name="tableau | cellule | (total) | entier" xfId="1792"/>
    <cellStyle name="tableau | cellule | (total) | entier 2" xfId="1793"/>
    <cellStyle name="tableau | cellule | (total) | euro | decimal 1" xfId="1794"/>
    <cellStyle name="tableau | cellule | (total) | euro | decimal 1 2" xfId="1795"/>
    <cellStyle name="tableau | cellule | (total) | euro | decimal 2" xfId="1796"/>
    <cellStyle name="tableau | cellule | (total) | euro | decimal 2 2" xfId="1797"/>
    <cellStyle name="tableau | cellule | (total) | euro | entier" xfId="1798"/>
    <cellStyle name="tableau | cellule | (total) | euro | entier 2" xfId="1799"/>
    <cellStyle name="tableau | cellule | (total) | franc | decimal 1" xfId="1800"/>
    <cellStyle name="tableau | cellule | (total) | franc | decimal 1 2" xfId="1801"/>
    <cellStyle name="tableau | cellule | (total) | franc | decimal 2" xfId="1802"/>
    <cellStyle name="tableau | cellule | (total) | franc | decimal 2 2" xfId="1803"/>
    <cellStyle name="tableau | cellule | (total) | franc | entier" xfId="1804"/>
    <cellStyle name="tableau | cellule | (total) | franc | entier 2" xfId="1805"/>
    <cellStyle name="tableau | cellule | (total) | pourcentage | decimal 1" xfId="1806"/>
    <cellStyle name="tableau | cellule | (total) | pourcentage | decimal 1 2" xfId="1807"/>
    <cellStyle name="tableau | cellule | (total) | pourcentage | decimal 2" xfId="1808"/>
    <cellStyle name="tableau | cellule | (total) | pourcentage | decimal 2 2" xfId="1809"/>
    <cellStyle name="tableau | cellule | (total) | pourcentage | entier" xfId="1810"/>
    <cellStyle name="tableau | cellule | (total) | pourcentage | entier 2" xfId="1811"/>
    <cellStyle name="tableau | cellule | (total) | standard" xfId="1812"/>
    <cellStyle name="tableau | cellule | (total) | standard 2" xfId="1813"/>
    <cellStyle name="tableau | cellule | (total) | texte" xfId="1814"/>
    <cellStyle name="tableau | cellule | (total) | texte 2" xfId="1815"/>
    <cellStyle name="tableau | cellule | normal | decimal 1" xfId="1816"/>
    <cellStyle name="tableau | cellule | normal | decimal 1 2" xfId="1817"/>
    <cellStyle name="tableau | cellule | normal | decimal 2" xfId="1818"/>
    <cellStyle name="tableau | cellule | normal | decimal 2 2" xfId="1819"/>
    <cellStyle name="tableau | cellule | normal | decimal 3" xfId="1820"/>
    <cellStyle name="tableau | cellule | normal | decimal 3 2" xfId="1821"/>
    <cellStyle name="tableau | cellule | normal | decimal 4" xfId="1822"/>
    <cellStyle name="tableau | cellule | normal | decimal 4 2" xfId="1823"/>
    <cellStyle name="tableau | cellule | normal | entier" xfId="1824"/>
    <cellStyle name="tableau | cellule | normal | entier 2" xfId="1825"/>
    <cellStyle name="tableau | cellule | normal | euro | decimal 1" xfId="1826"/>
    <cellStyle name="tableau | cellule | normal | euro | decimal 1 2" xfId="1827"/>
    <cellStyle name="tableau | cellule | normal | euro | decimal 2" xfId="1828"/>
    <cellStyle name="tableau | cellule | normal | euro | decimal 2 2" xfId="1829"/>
    <cellStyle name="tableau | cellule | normal | euro | entier" xfId="1830"/>
    <cellStyle name="tableau | cellule | normal | euro | entier 2" xfId="1831"/>
    <cellStyle name="tableau | cellule | normal | franc | decimal 1" xfId="1832"/>
    <cellStyle name="tableau | cellule | normal | franc | decimal 1 2" xfId="1833"/>
    <cellStyle name="tableau | cellule | normal | franc | decimal 2" xfId="1834"/>
    <cellStyle name="tableau | cellule | normal | franc | decimal 2 2" xfId="1835"/>
    <cellStyle name="tableau | cellule | normal | franc | entier" xfId="1836"/>
    <cellStyle name="tableau | cellule | normal | franc | entier 2" xfId="1837"/>
    <cellStyle name="tableau | cellule | normal | pourcentage | decimal 1" xfId="1838"/>
    <cellStyle name="tableau | cellule | normal | pourcentage | decimal 1 2" xfId="1839"/>
    <cellStyle name="tableau | cellule | normal | pourcentage | decimal 2" xfId="1840"/>
    <cellStyle name="tableau | cellule | normal | pourcentage | decimal 2 2" xfId="1841"/>
    <cellStyle name="tableau | cellule | normal | pourcentage | entier" xfId="1842"/>
    <cellStyle name="tableau | cellule | normal | pourcentage | entier 2" xfId="1843"/>
    <cellStyle name="tableau | cellule | normal | standard" xfId="1844"/>
    <cellStyle name="tableau | cellule | normal | standard 2" xfId="1845"/>
    <cellStyle name="tableau | cellule | normal | texte" xfId="1846"/>
    <cellStyle name="tableau | cellule | normal | texte 2" xfId="1847"/>
    <cellStyle name="tableau | cellule | total | decimal 1" xfId="1848"/>
    <cellStyle name="tableau | cellule | total | decimal 1 2" xfId="1849"/>
    <cellStyle name="tableau | cellule | total | decimal 2" xfId="1850"/>
    <cellStyle name="tableau | cellule | total | decimal 2 2" xfId="1851"/>
    <cellStyle name="tableau | cellule | total | decimal 3" xfId="1852"/>
    <cellStyle name="tableau | cellule | total | decimal 3 2" xfId="1853"/>
    <cellStyle name="tableau | cellule | total | decimal 4" xfId="1854"/>
    <cellStyle name="tableau | cellule | total | decimal 4 2" xfId="1855"/>
    <cellStyle name="tableau | cellule | total | entier" xfId="1856"/>
    <cellStyle name="tableau | cellule | total | entier 2" xfId="1857"/>
    <cellStyle name="tableau | cellule | total | euro | decimal 1" xfId="1858"/>
    <cellStyle name="tableau | cellule | total | euro | decimal 1 2" xfId="1859"/>
    <cellStyle name="tableau | cellule | total | euro | decimal 2" xfId="1860"/>
    <cellStyle name="tableau | cellule | total | euro | decimal 2 2" xfId="1861"/>
    <cellStyle name="tableau | cellule | total | euro | entier" xfId="1862"/>
    <cellStyle name="tableau | cellule | total | euro | entier 2" xfId="1863"/>
    <cellStyle name="tableau | cellule | total | franc | decimal 1" xfId="1864"/>
    <cellStyle name="tableau | cellule | total | franc | decimal 1 2" xfId="1865"/>
    <cellStyle name="tableau | cellule | total | franc | decimal 2" xfId="1866"/>
    <cellStyle name="tableau | cellule | total | franc | decimal 2 2" xfId="1867"/>
    <cellStyle name="tableau | cellule | total | franc | entier" xfId="1868"/>
    <cellStyle name="tableau | cellule | total | franc | entier 2" xfId="1869"/>
    <cellStyle name="tableau | cellule | total | pourcentage | decimal 1" xfId="1870"/>
    <cellStyle name="tableau | cellule | total | pourcentage | decimal 1 2" xfId="1871"/>
    <cellStyle name="tableau | cellule | total | pourcentage | decimal 2" xfId="1872"/>
    <cellStyle name="tableau | cellule | total | pourcentage | decimal 2 2" xfId="1873"/>
    <cellStyle name="tableau | cellule | total | pourcentage | entier" xfId="1874"/>
    <cellStyle name="tableau | cellule | total | pourcentage | entier 2" xfId="1875"/>
    <cellStyle name="tableau | cellule | total | standard" xfId="1876"/>
    <cellStyle name="tableau | cellule | total | standard 2" xfId="1877"/>
    <cellStyle name="tableau | cellule | total | texte" xfId="1878"/>
    <cellStyle name="tableau | cellule | total | texte 2" xfId="1879"/>
    <cellStyle name="tableau | coin superieur gauche" xfId="1880"/>
    <cellStyle name="tableau | coin superieur gauche 2" xfId="1881"/>
    <cellStyle name="tableau | coin superieur gauche 2 2" xfId="1882"/>
    <cellStyle name="tableau | coin superieur gauche 3" xfId="1883"/>
    <cellStyle name="tableau | coin superieur gauche 4" xfId="1884"/>
    <cellStyle name="tableau | coin superieur gauche 5" xfId="1885"/>
    <cellStyle name="tableau | entete-colonne | series" xfId="1886"/>
    <cellStyle name="tableau | entete-colonne | series 2" xfId="1887"/>
    <cellStyle name="tableau | entete-colonne | series 2 2" xfId="1888"/>
    <cellStyle name="tableau | entete-colonne | series 3" xfId="1889"/>
    <cellStyle name="tableau | entete-colonne | series 4" xfId="1890"/>
    <cellStyle name="tableau | entete-colonne | series 5" xfId="1891"/>
    <cellStyle name="tableau | entete-colonne | structure | normal" xfId="1892"/>
    <cellStyle name="tableau | entete-colonne | structure | normal 2" xfId="1893"/>
    <cellStyle name="tableau | entete-colonne | structure | normal 2 2" xfId="1894"/>
    <cellStyle name="tableau | entete-colonne | structure | normal 3" xfId="1895"/>
    <cellStyle name="tableau | entete-colonne | structure | normal 4" xfId="1896"/>
    <cellStyle name="tableau | entete-colonne | structure | normal 5" xfId="1897"/>
    <cellStyle name="tableau | entete-colonne | structure | total" xfId="1898"/>
    <cellStyle name="tableau | entete-colonne | structure | total 2" xfId="1899"/>
    <cellStyle name="tableau | entete-colonne | structure | total 2 2" xfId="1900"/>
    <cellStyle name="tableau | entete-colonne | structure | total 3" xfId="1901"/>
    <cellStyle name="tableau | entete-colonne | structure | total 4" xfId="1902"/>
    <cellStyle name="tableau | entete-colonne | structure | total 5" xfId="1903"/>
    <cellStyle name="tableau | entete-ligne | normal" xfId="1904"/>
    <cellStyle name="tableau | entete-ligne | normal 2" xfId="1905"/>
    <cellStyle name="tableau | entete-ligne | normal 2 2" xfId="1906"/>
    <cellStyle name="tableau | entete-ligne | normal 3" xfId="1907"/>
    <cellStyle name="tableau | entete-ligne | normal 4" xfId="1908"/>
    <cellStyle name="tableau | entete-ligne | normal 5" xfId="1909"/>
    <cellStyle name="tableau | entete-ligne | total" xfId="1910"/>
    <cellStyle name="tableau | entete-ligne | total 2" xfId="1911"/>
    <cellStyle name="tableau | entete-ligne | total 2 2" xfId="1912"/>
    <cellStyle name="tableau | entete-ligne | total 3" xfId="1913"/>
    <cellStyle name="tableau | entete-ligne | total 4" xfId="1914"/>
    <cellStyle name="tableau | entete-ligne | total 5" xfId="1915"/>
    <cellStyle name="tableau | indice | plage de cellules" xfId="1916"/>
    <cellStyle name="tableau | indice | texte" xfId="1917"/>
    <cellStyle name="tableau | ligne de cesure" xfId="1918"/>
    <cellStyle name="tableau | ligne-titre | niveau1" xfId="1919"/>
    <cellStyle name="tableau | ligne-titre | niveau1 2" xfId="1920"/>
    <cellStyle name="tableau | ligne-titre | niveau1 2 2" xfId="1921"/>
    <cellStyle name="tableau | ligne-titre | niveau1 3" xfId="1922"/>
    <cellStyle name="tableau | ligne-titre | niveau1 4" xfId="1923"/>
    <cellStyle name="tableau | ligne-titre | niveau1 5" xfId="1924"/>
    <cellStyle name="tableau | ligne-titre | niveau2" xfId="1925"/>
    <cellStyle name="tableau | ligne-titre | niveau2 2" xfId="1926"/>
    <cellStyle name="tableau | ligne-titre | niveau2 2 2" xfId="1927"/>
    <cellStyle name="tableau | ligne-titre | niveau2 3" xfId="1928"/>
    <cellStyle name="tableau | ligne-titre | niveau2 4" xfId="1929"/>
    <cellStyle name="tableau | ligne-titre | niveau2 5" xfId="1930"/>
    <cellStyle name="tableau | ligne-titre | niveau3" xfId="1931"/>
    <cellStyle name="tableau | ligne-titre | niveau3 2" xfId="1932"/>
    <cellStyle name="tableau | ligne-titre | niveau3 2 2" xfId="1933"/>
    <cellStyle name="tableau | ligne-titre | niveau3 3" xfId="1934"/>
    <cellStyle name="tableau | ligne-titre | niveau3 4" xfId="1935"/>
    <cellStyle name="tableau | ligne-titre | niveau3 5" xfId="1936"/>
    <cellStyle name="tableau | ligne-titre | niveau4" xfId="1937"/>
    <cellStyle name="tableau | ligne-titre | niveau4 2" xfId="1938"/>
    <cellStyle name="tableau | ligne-titre | niveau4 2 2" xfId="1939"/>
    <cellStyle name="tableau | ligne-titre | niveau4 3" xfId="1940"/>
    <cellStyle name="tableau | ligne-titre | niveau4 4" xfId="1941"/>
    <cellStyle name="tableau | ligne-titre | niveau4 5" xfId="1942"/>
    <cellStyle name="tableau | ligne-titre | niveau5" xfId="1943"/>
    <cellStyle name="tableau | ligne-titre | niveau5 2" xfId="1944"/>
    <cellStyle name="tableau | ligne-titre | niveau5 2 2" xfId="1945"/>
    <cellStyle name="tableau | ligne-titre | niveau5 3" xfId="1946"/>
    <cellStyle name="tableau | ligne-titre | niveau5 4" xfId="1947"/>
    <cellStyle name="tableau | ligne-titre | niveau5 5" xfId="1948"/>
    <cellStyle name="tableau | source | plage de cellules" xfId="1949"/>
    <cellStyle name="tableau | source | texte" xfId="1950"/>
    <cellStyle name="tableau | unite | plage de cellules" xfId="1951"/>
    <cellStyle name="tableau | unite | texte" xfId="1952"/>
    <cellStyle name="Texte explicatif 2" xfId="1953"/>
    <cellStyle name="Title" xfId="1954"/>
    <cellStyle name="Title 2" xfId="1955"/>
    <cellStyle name="Title 3" xfId="1956"/>
    <cellStyle name="Titre 2" xfId="1957"/>
    <cellStyle name="Titre 1 2" xfId="1958"/>
    <cellStyle name="Titre 2 2" xfId="1959"/>
    <cellStyle name="Titre 3 2" xfId="1960"/>
    <cellStyle name="Titre 4 2" xfId="1961"/>
    <cellStyle name="Total 2" xfId="1962"/>
    <cellStyle name="Total 2 2" xfId="1963"/>
    <cellStyle name="Total 2 2 2" xfId="1964"/>
    <cellStyle name="Total 2 3" xfId="1965"/>
    <cellStyle name="Total 2 3 2" xfId="1966"/>
    <cellStyle name="Total 2 4" xfId="1967"/>
    <cellStyle name="Total 2 4 2" xfId="1968"/>
    <cellStyle name="Total 2 5" xfId="1969"/>
    <cellStyle name="Total 3" xfId="1970"/>
    <cellStyle name="Total 3 2" xfId="1971"/>
    <cellStyle name="Total 3 2 2" xfId="1972"/>
    <cellStyle name="Total 3 3" xfId="1973"/>
    <cellStyle name="Total 3 3 2" xfId="1974"/>
    <cellStyle name="Total 3 4" xfId="1975"/>
    <cellStyle name="Total 3 4 2" xfId="1976"/>
    <cellStyle name="Total 3 5" xfId="1977"/>
    <cellStyle name="Überschrift" xfId="1978"/>
    <cellStyle name="Überschrift 1" xfId="1979"/>
    <cellStyle name="Überschrift 2" xfId="1980"/>
    <cellStyle name="Überschrift 3" xfId="1981"/>
    <cellStyle name="Überschrift 4" xfId="1982"/>
    <cellStyle name="unite" xfId="1983"/>
    <cellStyle name="Utdata" xfId="1984"/>
    <cellStyle name="Utdata 2" xfId="1985"/>
    <cellStyle name="Utdata 3" xfId="1986"/>
    <cellStyle name="Utdata 4" xfId="1987"/>
    <cellStyle name="Valuta [0]_TABLEX7" xfId="1988"/>
    <cellStyle name="Valuta_TABLEX7" xfId="1989"/>
    <cellStyle name="Varningstext" xfId="1990"/>
    <cellStyle name="Vérification 2" xfId="1991"/>
    <cellStyle name="Verknüpfte Zelle" xfId="1992"/>
    <cellStyle name="Virgule fixe" xfId="1993"/>
    <cellStyle name="Warnender Text" xfId="1994"/>
    <cellStyle name="Warnender Text 2" xfId="1995"/>
    <cellStyle name="Warnender Text 3" xfId="1996"/>
    <cellStyle name="Warning Text 2" xfId="1997"/>
    <cellStyle name="Warning Text 3" xfId="1998"/>
    <cellStyle name="Year" xfId="1999"/>
    <cellStyle name="Zelle überprüfen" xfId="2000"/>
    <cellStyle name="Гиперссылка" xfId="2001"/>
    <cellStyle name="Гиперссылка 2" xfId="2002"/>
    <cellStyle name="Гиперссылка 3" xfId="2003"/>
    <cellStyle name="Гиперссылка 4" xfId="2004"/>
    <cellStyle name="Обычный_2++" xfId="2005"/>
  </cellStyles>
  <dxfs count="0"/>
  <tableStyles count="0" defaultTableStyle="TableStyleMedium2" defaultPivotStyle="PivotStyleLight16"/>
  <colors>
    <mruColors>
      <color rgb="FFF6FDB3"/>
      <color rgb="FF99FF99"/>
      <color rgb="FF00CC00"/>
      <color rgb="FFCDFFC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13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worksheet" Target="worksheets/sheet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styles" Target="styles.xml"/><Relationship Id="rId5" Type="http://schemas.openxmlformats.org/officeDocument/2006/relationships/worksheet" Target="worksheets/sheet4.xml"/><Relationship Id="rId10" Type="http://schemas.openxmlformats.org/officeDocument/2006/relationships/theme" Target="theme/theme1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7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.18963641583361962"/>
          <c:w val="1"/>
          <c:h val="0.81036358416638032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CC00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B0F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C000"/>
              </a:solidFill>
            </c:spPr>
          </c:dPt>
          <c:dLbls>
            <c:dLbl>
              <c:idx val="0"/>
              <c:layout>
                <c:manualLayout>
                  <c:x val="2.9438717067583046E-2"/>
                  <c:y val="5.98301682877875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3333333333333333E-2"/>
                  <c:y val="6.94444444444443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1454663527883757E-2"/>
                  <c:y val="6.53164639249815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16930126002290952"/>
                  <c:y val="5.70605299724531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2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data_Maslow!$H$4:$H$7</c:f>
              <c:strCache>
                <c:ptCount val="4"/>
                <c:pt idx="0">
                  <c:v>1 934 kg</c:v>
                </c:pt>
                <c:pt idx="1">
                  <c:v>2 334 kg</c:v>
                </c:pt>
                <c:pt idx="2">
                  <c:v>2 665 kg</c:v>
                </c:pt>
                <c:pt idx="3">
                  <c:v>5 159 kg</c:v>
                </c:pt>
              </c:strCache>
            </c:strRef>
          </c:cat>
          <c:val>
            <c:numRef>
              <c:f>data_Maslow!$F$4:$F$7</c:f>
              <c:numCache>
                <c:formatCode>0.00%</c:formatCode>
                <c:ptCount val="4"/>
                <c:pt idx="0">
                  <c:v>0.15994715960335243</c:v>
                </c:pt>
                <c:pt idx="1">
                  <c:v>0.19303621304924959</c:v>
                </c:pt>
                <c:pt idx="2">
                  <c:v>0.22035558291410312</c:v>
                </c:pt>
                <c:pt idx="3">
                  <c:v>0.42666104443329494</c:v>
                </c:pt>
              </c:numCache>
            </c:numRef>
          </c:val>
        </c:ser>
        <c:ser>
          <c:idx val="1"/>
          <c:order val="1"/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CC00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B0F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C000"/>
              </a:solidFill>
            </c:spPr>
          </c:dPt>
          <c:dLbls>
            <c:dLbl>
              <c:idx val="0"/>
              <c:layout>
                <c:manualLayout>
                  <c:x val="-2.0663679797416085E-2"/>
                  <c:y val="-5.4289307423314712E-2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8264274965031542E-2"/>
                  <c:y val="-5.8465407994338921E-2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279587594571717E-2"/>
                  <c:y val="-6.0553458279851022E-2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16253280610055401"/>
                  <c:y val="-5.6377357708826813E-2"/>
                </c:manualLayout>
              </c:layout>
              <c:spPr>
                <a:noFill/>
                <a:ln>
                  <a:noFill/>
                </a:ln>
              </c:spPr>
              <c:txPr>
                <a:bodyPr anchor="ctr" anchorCtr="0"/>
                <a:lstStyle/>
                <a:p>
                  <a:pPr>
                    <a:defRPr sz="2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</c:dLbl>
            <c:spPr>
              <a:ln>
                <a:noFill/>
              </a:ln>
            </c:spPr>
            <c:txPr>
              <a:bodyPr anchor="ctr" anchorCtr="0"/>
              <a:lstStyle/>
              <a:p>
                <a:pPr>
                  <a:defRPr sz="2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cat>
            <c:strRef>
              <c:f>data_Maslow!$H$4:$H$7</c:f>
              <c:strCache>
                <c:ptCount val="4"/>
                <c:pt idx="0">
                  <c:v>1 934 kg</c:v>
                </c:pt>
                <c:pt idx="1">
                  <c:v>2 334 kg</c:v>
                </c:pt>
                <c:pt idx="2">
                  <c:v>2 665 kg</c:v>
                </c:pt>
                <c:pt idx="3">
                  <c:v>5 159 kg</c:v>
                </c:pt>
              </c:strCache>
            </c:strRef>
          </c:cat>
          <c:val>
            <c:numRef>
              <c:f>data_Maslow!$G$4:$G$7</c:f>
              <c:numCache>
                <c:formatCode>0.00%</c:formatCode>
                <c:ptCount val="4"/>
                <c:pt idx="0">
                  <c:v>-0.15994715960335243</c:v>
                </c:pt>
                <c:pt idx="1">
                  <c:v>-0.19303621304924959</c:v>
                </c:pt>
                <c:pt idx="2">
                  <c:v>-0.22035558291410312</c:v>
                </c:pt>
                <c:pt idx="3">
                  <c:v>-0.42666104443329494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56754432"/>
        <c:axId val="256755968"/>
      </c:barChart>
      <c:catAx>
        <c:axId val="256754432"/>
        <c:scaling>
          <c:orientation val="minMax"/>
        </c:scaling>
        <c:delete val="1"/>
        <c:axPos val="l"/>
        <c:majorTickMark val="out"/>
        <c:minorTickMark val="none"/>
        <c:tickLblPos val="nextTo"/>
        <c:crossAx val="256755968"/>
        <c:crosses val="autoZero"/>
        <c:auto val="1"/>
        <c:lblAlgn val="ctr"/>
        <c:lblOffset val="100"/>
        <c:noMultiLvlLbl val="0"/>
      </c:catAx>
      <c:valAx>
        <c:axId val="256755968"/>
        <c:scaling>
          <c:orientation val="minMax"/>
          <c:max val="0.47000000000000003"/>
          <c:min val="-0.47000000000000003"/>
        </c:scaling>
        <c:delete val="1"/>
        <c:axPos val="b"/>
        <c:numFmt formatCode="0.00%" sourceLinked="1"/>
        <c:majorTickMark val="out"/>
        <c:minorTickMark val="none"/>
        <c:tickLblPos val="nextTo"/>
        <c:crossAx val="256754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941310063364327E-2"/>
          <c:y val="5.498085367627429E-2"/>
          <c:w val="0.90614645110619407"/>
          <c:h val="0.83488107179622706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data_empreinte!$C$5</c:f>
              <c:strCache>
                <c:ptCount val="1"/>
                <c:pt idx="0">
                  <c:v>Viandes et Poissons</c:v>
                </c:pt>
              </c:strCache>
            </c:strRef>
          </c:tx>
          <c:invertIfNegative val="0"/>
          <c:dLbls>
            <c:dLbl>
              <c:idx val="3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</c:dLbl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data_empreinte!$D$4:$H$4</c:f>
              <c:strCache>
                <c:ptCount val="5"/>
                <c:pt idx="0">
                  <c:v>Transport</c:v>
                </c:pt>
                <c:pt idx="1">
                  <c:v>Logement</c:v>
                </c:pt>
                <c:pt idx="2">
                  <c:v>Bien conso</c:v>
                </c:pt>
                <c:pt idx="3">
                  <c:v>Alimentation</c:v>
                </c:pt>
                <c:pt idx="4">
                  <c:v>Services</c:v>
                </c:pt>
              </c:strCache>
            </c:strRef>
          </c:cat>
          <c:val>
            <c:numRef>
              <c:f>data_empreinte!$D$5:$H$5</c:f>
              <c:numCache>
                <c:formatCode>#,##0</c:formatCode>
                <c:ptCount val="5"/>
                <c:pt idx="3">
                  <c:v>1143.7</c:v>
                </c:pt>
              </c:numCache>
            </c:numRef>
          </c:val>
        </c:ser>
        <c:ser>
          <c:idx val="2"/>
          <c:order val="1"/>
          <c:tx>
            <c:strRef>
              <c:f>data_empreinte!$C$7</c:f>
              <c:strCache>
                <c:ptCount val="1"/>
                <c:pt idx="0">
                  <c:v>Produits laitiers et œufs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cat>
            <c:strRef>
              <c:f>data_empreinte!$D$4:$H$4</c:f>
              <c:strCache>
                <c:ptCount val="5"/>
                <c:pt idx="0">
                  <c:v>Transport</c:v>
                </c:pt>
                <c:pt idx="1">
                  <c:v>Logement</c:v>
                </c:pt>
                <c:pt idx="2">
                  <c:v>Bien conso</c:v>
                </c:pt>
                <c:pt idx="3">
                  <c:v>Alimentation</c:v>
                </c:pt>
                <c:pt idx="4">
                  <c:v>Services</c:v>
                </c:pt>
              </c:strCache>
            </c:strRef>
          </c:cat>
          <c:val>
            <c:numRef>
              <c:f>data_empreinte!$D$7:$H$7</c:f>
              <c:numCache>
                <c:formatCode>#,##0</c:formatCode>
                <c:ptCount val="5"/>
                <c:pt idx="3">
                  <c:v>408.17999999999995</c:v>
                </c:pt>
              </c:numCache>
            </c:numRef>
          </c:val>
        </c:ser>
        <c:ser>
          <c:idx val="1"/>
          <c:order val="2"/>
          <c:tx>
            <c:strRef>
              <c:f>data_empreinte!$C$6</c:f>
              <c:strCache>
                <c:ptCount val="1"/>
                <c:pt idx="0">
                  <c:v>Autres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cat>
            <c:strRef>
              <c:f>data_empreinte!$D$4:$H$4</c:f>
              <c:strCache>
                <c:ptCount val="5"/>
                <c:pt idx="0">
                  <c:v>Transport</c:v>
                </c:pt>
                <c:pt idx="1">
                  <c:v>Logement</c:v>
                </c:pt>
                <c:pt idx="2">
                  <c:v>Bien conso</c:v>
                </c:pt>
                <c:pt idx="3">
                  <c:v>Alimentation</c:v>
                </c:pt>
                <c:pt idx="4">
                  <c:v>Services</c:v>
                </c:pt>
              </c:strCache>
            </c:strRef>
          </c:cat>
          <c:val>
            <c:numRef>
              <c:f>data_empreinte!$D$6:$H$6</c:f>
              <c:numCache>
                <c:formatCode>#,##0</c:formatCode>
                <c:ptCount val="5"/>
                <c:pt idx="3">
                  <c:v>537.95499999999993</c:v>
                </c:pt>
              </c:numCache>
            </c:numRef>
          </c:val>
        </c:ser>
        <c:ser>
          <c:idx val="0"/>
          <c:order val="3"/>
          <c:tx>
            <c:strRef>
              <c:f>data_empreinte!$C$8</c:f>
              <c:strCache>
                <c:ptCount val="1"/>
                <c:pt idx="0">
                  <c:v>Boissons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cat>
            <c:strRef>
              <c:f>data_empreinte!$D$4:$H$4</c:f>
              <c:strCache>
                <c:ptCount val="5"/>
                <c:pt idx="0">
                  <c:v>Transport</c:v>
                </c:pt>
                <c:pt idx="1">
                  <c:v>Logement</c:v>
                </c:pt>
                <c:pt idx="2">
                  <c:v>Bien conso</c:v>
                </c:pt>
                <c:pt idx="3">
                  <c:v>Alimentation</c:v>
                </c:pt>
                <c:pt idx="4">
                  <c:v>Services</c:v>
                </c:pt>
              </c:strCache>
            </c:strRef>
          </c:cat>
          <c:val>
            <c:numRef>
              <c:f>data_empreinte!$D$8:$H$8</c:f>
              <c:numCache>
                <c:formatCode>#,##0</c:formatCode>
                <c:ptCount val="5"/>
                <c:pt idx="3">
                  <c:v>262.77699999999999</c:v>
                </c:pt>
              </c:numCache>
            </c:numRef>
          </c:val>
        </c:ser>
        <c:ser>
          <c:idx val="14"/>
          <c:order val="4"/>
          <c:tx>
            <c:strRef>
              <c:f>data_empreinte!$C$9</c:f>
              <c:strCache>
                <c:ptCount val="1"/>
                <c:pt idx="0">
                  <c:v>Achat et usages Internet et technologies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cat>
            <c:strRef>
              <c:f>data_empreinte!$D$4:$H$4</c:f>
              <c:strCache>
                <c:ptCount val="5"/>
                <c:pt idx="0">
                  <c:v>Transport</c:v>
                </c:pt>
                <c:pt idx="1">
                  <c:v>Logement</c:v>
                </c:pt>
                <c:pt idx="2">
                  <c:v>Bien conso</c:v>
                </c:pt>
                <c:pt idx="3">
                  <c:v>Alimentation</c:v>
                </c:pt>
                <c:pt idx="4">
                  <c:v>Services</c:v>
                </c:pt>
              </c:strCache>
            </c:strRef>
          </c:cat>
          <c:val>
            <c:numRef>
              <c:f>data_empreinte!$D$9:$H$9</c:f>
              <c:numCache>
                <c:formatCode>#,##0</c:formatCode>
                <c:ptCount val="5"/>
                <c:pt idx="2">
                  <c:v>1179.732059148834</c:v>
                </c:pt>
              </c:numCache>
            </c:numRef>
          </c:val>
        </c:ser>
        <c:ser>
          <c:idx val="5"/>
          <c:order val="5"/>
          <c:tx>
            <c:strRef>
              <c:f>data_empreinte!$C$10</c:f>
              <c:strCache>
                <c:ptCount val="1"/>
                <c:pt idx="0">
                  <c:v>Autres Biens et Services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cat>
            <c:strRef>
              <c:f>data_empreinte!$D$4:$H$4</c:f>
              <c:strCache>
                <c:ptCount val="5"/>
                <c:pt idx="0">
                  <c:v>Transport</c:v>
                </c:pt>
                <c:pt idx="1">
                  <c:v>Logement</c:v>
                </c:pt>
                <c:pt idx="2">
                  <c:v>Bien conso</c:v>
                </c:pt>
                <c:pt idx="3">
                  <c:v>Alimentation</c:v>
                </c:pt>
                <c:pt idx="4">
                  <c:v>Services</c:v>
                </c:pt>
              </c:strCache>
            </c:strRef>
          </c:cat>
          <c:val>
            <c:numRef>
              <c:f>data_empreinte!$D$10:$H$10</c:f>
              <c:numCache>
                <c:formatCode>#,##0</c:formatCode>
                <c:ptCount val="5"/>
                <c:pt idx="2">
                  <c:v>682.44960000000003</c:v>
                </c:pt>
              </c:numCache>
            </c:numRef>
          </c:val>
        </c:ser>
        <c:ser>
          <c:idx val="4"/>
          <c:order val="6"/>
          <c:tx>
            <c:strRef>
              <c:f>data_empreinte!$C$11</c:f>
              <c:strCache>
                <c:ptCount val="1"/>
                <c:pt idx="0">
                  <c:v>Habillement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cat>
            <c:strRef>
              <c:f>data_empreinte!$D$4:$H$4</c:f>
              <c:strCache>
                <c:ptCount val="5"/>
                <c:pt idx="0">
                  <c:v>Transport</c:v>
                </c:pt>
                <c:pt idx="1">
                  <c:v>Logement</c:v>
                </c:pt>
                <c:pt idx="2">
                  <c:v>Bien conso</c:v>
                </c:pt>
                <c:pt idx="3">
                  <c:v>Alimentation</c:v>
                </c:pt>
                <c:pt idx="4">
                  <c:v>Services</c:v>
                </c:pt>
              </c:strCache>
            </c:strRef>
          </c:cat>
          <c:val>
            <c:numRef>
              <c:f>data_empreinte!$D$11:$H$11</c:f>
              <c:numCache>
                <c:formatCode>#,##0</c:formatCode>
                <c:ptCount val="5"/>
                <c:pt idx="2">
                  <c:v>763.36699999999996</c:v>
                </c:pt>
              </c:numCache>
            </c:numRef>
          </c:val>
        </c:ser>
        <c:ser>
          <c:idx val="6"/>
          <c:order val="7"/>
          <c:tx>
            <c:strRef>
              <c:f>data_empreinte!$C$12</c:f>
              <c:strCache>
                <c:ptCount val="1"/>
                <c:pt idx="0">
                  <c:v>Voiture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cat>
            <c:strRef>
              <c:f>data_empreinte!$D$4:$H$4</c:f>
              <c:strCache>
                <c:ptCount val="5"/>
                <c:pt idx="0">
                  <c:v>Transport</c:v>
                </c:pt>
                <c:pt idx="1">
                  <c:v>Logement</c:v>
                </c:pt>
                <c:pt idx="2">
                  <c:v>Bien conso</c:v>
                </c:pt>
                <c:pt idx="3">
                  <c:v>Alimentation</c:v>
                </c:pt>
                <c:pt idx="4">
                  <c:v>Services</c:v>
                </c:pt>
              </c:strCache>
            </c:strRef>
          </c:cat>
          <c:val>
            <c:numRef>
              <c:f>data_empreinte!$D$12:$H$12</c:f>
              <c:numCache>
                <c:formatCode>#,##0</c:formatCode>
                <c:ptCount val="5"/>
                <c:pt idx="0">
                  <c:v>1972.3312000000003</c:v>
                </c:pt>
              </c:numCache>
            </c:numRef>
          </c:val>
        </c:ser>
        <c:ser>
          <c:idx val="7"/>
          <c:order val="8"/>
          <c:tx>
            <c:strRef>
              <c:f>data_empreinte!$C$13</c:f>
              <c:strCache>
                <c:ptCount val="1"/>
                <c:pt idx="0">
                  <c:v>Avion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cat>
            <c:strRef>
              <c:f>data_empreinte!$D$4:$H$4</c:f>
              <c:strCache>
                <c:ptCount val="5"/>
                <c:pt idx="0">
                  <c:v>Transport</c:v>
                </c:pt>
                <c:pt idx="1">
                  <c:v>Logement</c:v>
                </c:pt>
                <c:pt idx="2">
                  <c:v>Bien conso</c:v>
                </c:pt>
                <c:pt idx="3">
                  <c:v>Alimentation</c:v>
                </c:pt>
                <c:pt idx="4">
                  <c:v>Services</c:v>
                </c:pt>
              </c:strCache>
            </c:strRef>
          </c:cat>
          <c:val>
            <c:numRef>
              <c:f>data_empreinte!$D$13:$H$13</c:f>
              <c:numCache>
                <c:formatCode>#,##0</c:formatCode>
                <c:ptCount val="5"/>
                <c:pt idx="0">
                  <c:v>479.71799999999996</c:v>
                </c:pt>
              </c:numCache>
            </c:numRef>
          </c:val>
        </c:ser>
        <c:ser>
          <c:idx val="9"/>
          <c:order val="9"/>
          <c:tx>
            <c:strRef>
              <c:f>data_empreinte!$C$14</c:f>
              <c:strCache>
                <c:ptCount val="1"/>
                <c:pt idx="0">
                  <c:v>Fret et messagerie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cat>
            <c:strRef>
              <c:f>data_empreinte!$D$4:$H$4</c:f>
              <c:strCache>
                <c:ptCount val="5"/>
                <c:pt idx="0">
                  <c:v>Transport</c:v>
                </c:pt>
                <c:pt idx="1">
                  <c:v>Logement</c:v>
                </c:pt>
                <c:pt idx="2">
                  <c:v>Bien conso</c:v>
                </c:pt>
                <c:pt idx="3">
                  <c:v>Alimentation</c:v>
                </c:pt>
                <c:pt idx="4">
                  <c:v>Services</c:v>
                </c:pt>
              </c:strCache>
            </c:strRef>
          </c:cat>
          <c:val>
            <c:numRef>
              <c:f>data_empreinte!$D$14:$H$14</c:f>
              <c:numCache>
                <c:formatCode>#,##0</c:formatCode>
                <c:ptCount val="5"/>
                <c:pt idx="0">
                  <c:v>382.88</c:v>
                </c:pt>
              </c:numCache>
            </c:numRef>
          </c:val>
        </c:ser>
        <c:ser>
          <c:idx val="8"/>
          <c:order val="10"/>
          <c:tx>
            <c:strRef>
              <c:f>data_empreinte!$C$15</c:f>
              <c:strCache>
                <c:ptCount val="1"/>
                <c:pt idx="0">
                  <c:v>Train et bus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cat>
            <c:strRef>
              <c:f>data_empreinte!$D$4:$H$4</c:f>
              <c:strCache>
                <c:ptCount val="5"/>
                <c:pt idx="0">
                  <c:v>Transport</c:v>
                </c:pt>
                <c:pt idx="1">
                  <c:v>Logement</c:v>
                </c:pt>
                <c:pt idx="2">
                  <c:v>Bien conso</c:v>
                </c:pt>
                <c:pt idx="3">
                  <c:v>Alimentation</c:v>
                </c:pt>
                <c:pt idx="4">
                  <c:v>Services</c:v>
                </c:pt>
              </c:strCache>
            </c:strRef>
          </c:cat>
          <c:val>
            <c:numRef>
              <c:f>data_empreinte!$D$15:$H$15</c:f>
              <c:numCache>
                <c:formatCode>#,##0</c:formatCode>
                <c:ptCount val="5"/>
                <c:pt idx="0">
                  <c:v>84.547999999999988</c:v>
                </c:pt>
              </c:numCache>
            </c:numRef>
          </c:val>
        </c:ser>
        <c:ser>
          <c:idx val="10"/>
          <c:order val="11"/>
          <c:tx>
            <c:strRef>
              <c:f>data_empreinte!$C$16</c:f>
              <c:strCache>
                <c:ptCount val="1"/>
                <c:pt idx="0">
                  <c:v>Services Publics,  Santé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cat>
            <c:strRef>
              <c:f>data_empreinte!$D$4:$H$4</c:f>
              <c:strCache>
                <c:ptCount val="5"/>
                <c:pt idx="0">
                  <c:v>Transport</c:v>
                </c:pt>
                <c:pt idx="1">
                  <c:v>Logement</c:v>
                </c:pt>
                <c:pt idx="2">
                  <c:v>Bien conso</c:v>
                </c:pt>
                <c:pt idx="3">
                  <c:v>Alimentation</c:v>
                </c:pt>
                <c:pt idx="4">
                  <c:v>Services</c:v>
                </c:pt>
              </c:strCache>
            </c:strRef>
          </c:cat>
          <c:val>
            <c:numRef>
              <c:f>data_empreinte!$D$16:$H$16</c:f>
              <c:numCache>
                <c:formatCode>#,##0</c:formatCode>
                <c:ptCount val="5"/>
                <c:pt idx="4">
                  <c:v>1489.1615999999999</c:v>
                </c:pt>
              </c:numCache>
            </c:numRef>
          </c:val>
        </c:ser>
        <c:ser>
          <c:idx val="11"/>
          <c:order val="12"/>
          <c:tx>
            <c:strRef>
              <c:f>data_empreinte!$C$17</c:f>
              <c:strCache>
                <c:ptCount val="1"/>
                <c:pt idx="0">
                  <c:v>Energie et utilités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cat>
            <c:strRef>
              <c:f>data_empreinte!$D$4:$H$4</c:f>
              <c:strCache>
                <c:ptCount val="5"/>
                <c:pt idx="0">
                  <c:v>Transport</c:v>
                </c:pt>
                <c:pt idx="1">
                  <c:v>Logement</c:v>
                </c:pt>
                <c:pt idx="2">
                  <c:v>Bien conso</c:v>
                </c:pt>
                <c:pt idx="3">
                  <c:v>Alimentation</c:v>
                </c:pt>
                <c:pt idx="4">
                  <c:v>Services</c:v>
                </c:pt>
              </c:strCache>
            </c:strRef>
          </c:cat>
          <c:val>
            <c:numRef>
              <c:f>data_empreinte!$D$17:$H$17</c:f>
              <c:numCache>
                <c:formatCode>#,##0</c:formatCode>
                <c:ptCount val="5"/>
                <c:pt idx="1">
                  <c:v>1696.0000000000002</c:v>
                </c:pt>
              </c:numCache>
            </c:numRef>
          </c:val>
        </c:ser>
        <c:ser>
          <c:idx val="12"/>
          <c:order val="13"/>
          <c:tx>
            <c:strRef>
              <c:f>data_empreinte!$C$18</c:f>
              <c:strCache>
                <c:ptCount val="1"/>
                <c:pt idx="0">
                  <c:v>Construction &amp; gros entretien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cat>
            <c:strRef>
              <c:f>data_empreinte!$D$4:$H$4</c:f>
              <c:strCache>
                <c:ptCount val="5"/>
                <c:pt idx="0">
                  <c:v>Transport</c:v>
                </c:pt>
                <c:pt idx="1">
                  <c:v>Logement</c:v>
                </c:pt>
                <c:pt idx="2">
                  <c:v>Bien conso</c:v>
                </c:pt>
                <c:pt idx="3">
                  <c:v>Alimentation</c:v>
                </c:pt>
                <c:pt idx="4">
                  <c:v>Services</c:v>
                </c:pt>
              </c:strCache>
            </c:strRef>
          </c:cat>
          <c:val>
            <c:numRef>
              <c:f>data_empreinte!$D$18:$H$18</c:f>
              <c:numCache>
                <c:formatCode>#,##0</c:formatCode>
                <c:ptCount val="5"/>
                <c:pt idx="1">
                  <c:v>674.60069444444434</c:v>
                </c:pt>
              </c:numCache>
            </c:numRef>
          </c:val>
        </c:ser>
        <c:ser>
          <c:idx val="13"/>
          <c:order val="14"/>
          <c:tx>
            <c:strRef>
              <c:f>data_empreinte!$C$19</c:f>
              <c:strCache>
                <c:ptCount val="1"/>
                <c:pt idx="0">
                  <c:v>Equipement des logements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</c:dLbls>
          <c:cat>
            <c:strRef>
              <c:f>data_empreinte!$D$4:$H$4</c:f>
              <c:strCache>
                <c:ptCount val="5"/>
                <c:pt idx="0">
                  <c:v>Transport</c:v>
                </c:pt>
                <c:pt idx="1">
                  <c:v>Logement</c:v>
                </c:pt>
                <c:pt idx="2">
                  <c:v>Bien conso</c:v>
                </c:pt>
                <c:pt idx="3">
                  <c:v>Alimentation</c:v>
                </c:pt>
                <c:pt idx="4">
                  <c:v>Services</c:v>
                </c:pt>
              </c:strCache>
            </c:strRef>
          </c:cat>
          <c:val>
            <c:numRef>
              <c:f>data_empreinte!$D$19:$H$19</c:f>
              <c:numCache>
                <c:formatCode>#,##0</c:formatCode>
                <c:ptCount val="5"/>
                <c:pt idx="1">
                  <c:v>334.53323738556833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100"/>
        <c:axId val="264905472"/>
        <c:axId val="264907392"/>
      </c:barChart>
      <c:catAx>
        <c:axId val="264905472"/>
        <c:scaling>
          <c:orientation val="minMax"/>
        </c:scaling>
        <c:delete val="0"/>
        <c:axPos val="b"/>
        <c:majorTickMark val="out"/>
        <c:minorTickMark val="none"/>
        <c:tickLblPos val="nextTo"/>
        <c:crossAx val="264907392"/>
        <c:crosses val="autoZero"/>
        <c:auto val="1"/>
        <c:lblAlgn val="ctr"/>
        <c:lblOffset val="100"/>
        <c:noMultiLvlLbl val="0"/>
      </c:catAx>
      <c:valAx>
        <c:axId val="264907392"/>
        <c:scaling>
          <c:orientation val="minMax"/>
          <c:max val="3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26490547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txPr>
    <a:bodyPr/>
    <a:lstStyle/>
    <a:p>
      <a:pPr>
        <a:defRPr sz="1200" b="1"/>
      </a:pPr>
      <a:endParaRPr lang="fr-FR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3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3" workbookViewId="0" zoomToFit="1"/>
  </sheetViews>
  <pageMargins left="0.7" right="0.7" top="0.75" bottom="0.75" header="0.3" footer="0.3"/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5</xdr:row>
      <xdr:rowOff>47625</xdr:rowOff>
    </xdr:from>
    <xdr:to>
      <xdr:col>7</xdr:col>
      <xdr:colOff>552450</xdr:colOff>
      <xdr:row>28</xdr:row>
      <xdr:rowOff>19050</xdr:rowOff>
    </xdr:to>
    <xdr:sp macro="" textlink="">
      <xdr:nvSpPr>
        <xdr:cNvPr id="2" name="Accolade fermante 1"/>
        <xdr:cNvSpPr/>
      </xdr:nvSpPr>
      <xdr:spPr>
        <a:xfrm>
          <a:off x="2790825" y="914400"/>
          <a:ext cx="466725" cy="37052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533401</xdr:colOff>
      <xdr:row>5</xdr:row>
      <xdr:rowOff>133349</xdr:rowOff>
    </xdr:from>
    <xdr:to>
      <xdr:col>7</xdr:col>
      <xdr:colOff>990601</xdr:colOff>
      <xdr:row>15</xdr:row>
      <xdr:rowOff>114299</xdr:rowOff>
    </xdr:to>
    <xdr:cxnSp macro="">
      <xdr:nvCxnSpPr>
        <xdr:cNvPr id="18" name="Connecteur en arc 17"/>
        <xdr:cNvCxnSpPr/>
      </xdr:nvCxnSpPr>
      <xdr:spPr>
        <a:xfrm rot="5400000">
          <a:off x="2662238" y="1576387"/>
          <a:ext cx="1609725" cy="457200"/>
        </a:xfrm>
        <a:prstGeom prst="curvedConnector3">
          <a:avLst>
            <a:gd name="adj1" fmla="val 67752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6958" cy="6082229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0.0269</cdr:x>
      <cdr:y>0.1931</cdr:y>
    </cdr:from>
    <cdr:to>
      <cdr:x>0.95772</cdr:x>
      <cdr:y>0.39009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49114" y="594097"/>
          <a:ext cx="5160037" cy="6060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 anchorCtr="1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400" b="1" i="0" baseline="0">
              <a:effectLst/>
              <a:latin typeface="+mn-lt"/>
              <a:ea typeface="+mn-ea"/>
              <a:cs typeface="+mn-cs"/>
            </a:rPr>
            <a:t>Hiérarchie et Accomplissement</a:t>
          </a:r>
          <a:endParaRPr lang="fr-FR" sz="2400">
            <a:effectLst/>
          </a:endParaRPr>
        </a:p>
        <a:p xmlns:a="http://schemas.openxmlformats.org/drawingml/2006/main">
          <a:endParaRPr lang="fr-FR" sz="2400"/>
        </a:p>
      </cdr:txBody>
    </cdr:sp>
  </cdr:relSizeAnchor>
  <cdr:relSizeAnchor xmlns:cdr="http://schemas.openxmlformats.org/drawingml/2006/chartDrawing">
    <cdr:from>
      <cdr:x>0.26875</cdr:x>
      <cdr:y>0.39009</cdr:y>
    </cdr:from>
    <cdr:to>
      <cdr:x>0.73125</cdr:x>
      <cdr:y>0.59752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489829" y="1200150"/>
          <a:ext cx="2563892" cy="638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 anchorCtr="1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400" b="1" i="0" baseline="0">
              <a:effectLst/>
              <a:latin typeface="+mn-lt"/>
              <a:ea typeface="+mn-ea"/>
              <a:cs typeface="+mn-cs"/>
            </a:rPr>
            <a:t>Appartenance</a:t>
          </a:r>
          <a:endParaRPr lang="fr-FR" sz="1600">
            <a:effectLst/>
          </a:endParaRPr>
        </a:p>
        <a:p xmlns:a="http://schemas.openxmlformats.org/drawingml/2006/main">
          <a:endParaRPr lang="fr-FR" sz="1600"/>
        </a:p>
      </cdr:txBody>
    </cdr:sp>
  </cdr:relSizeAnchor>
  <cdr:relSizeAnchor xmlns:cdr="http://schemas.openxmlformats.org/drawingml/2006/chartDrawing">
    <cdr:from>
      <cdr:x>0.29375</cdr:x>
      <cdr:y>0.58823</cdr:y>
    </cdr:from>
    <cdr:to>
      <cdr:x>0.69583</cdr:x>
      <cdr:y>0.79257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1628416" y="1809749"/>
          <a:ext cx="2228970" cy="6286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 anchorCtr="1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400" b="1" i="0" baseline="0">
              <a:effectLst/>
              <a:latin typeface="+mn-lt"/>
              <a:ea typeface="+mn-ea"/>
              <a:cs typeface="+mn-cs"/>
            </a:rPr>
            <a:t>Sécurité</a:t>
          </a:r>
          <a:endParaRPr lang="fr-FR" sz="1800">
            <a:effectLst/>
          </a:endParaRPr>
        </a:p>
      </cdr:txBody>
    </cdr:sp>
  </cdr:relSizeAnchor>
  <cdr:relSizeAnchor xmlns:cdr="http://schemas.openxmlformats.org/drawingml/2006/chartDrawing">
    <cdr:from>
      <cdr:x>0.32907</cdr:x>
      <cdr:y>0.80186</cdr:y>
    </cdr:from>
    <cdr:to>
      <cdr:x>0.66032</cdr:x>
      <cdr:y>0.94</cdr:y>
    </cdr:to>
    <cdr:sp macro="" textlink="">
      <cdr:nvSpPr>
        <cdr:cNvPr id="5" name="ZoneTexte 4"/>
        <cdr:cNvSpPr txBox="1"/>
      </cdr:nvSpPr>
      <cdr:spPr>
        <a:xfrm xmlns:a="http://schemas.openxmlformats.org/drawingml/2006/main">
          <a:off x="1824239" y="2466974"/>
          <a:ext cx="1836301" cy="4250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 anchorCtr="1"/>
        <a:lstStyle xmlns:a="http://schemas.openxmlformats.org/drawingml/2006/main"/>
        <a:p xmlns:a="http://schemas.openxmlformats.org/drawingml/2006/main">
          <a:r>
            <a:rPr lang="fr-FR" sz="2400" b="1"/>
            <a:t>Physiologique</a:t>
          </a:r>
          <a:endParaRPr lang="fr-FR" sz="1600" b="1"/>
        </a:p>
      </cdr:txBody>
    </cdr:sp>
  </cdr:relSizeAnchor>
  <cdr:relSizeAnchor xmlns:cdr="http://schemas.openxmlformats.org/drawingml/2006/chartDrawing">
    <cdr:from>
      <cdr:x>0.00687</cdr:x>
      <cdr:y>0.01724</cdr:y>
    </cdr:from>
    <cdr:to>
      <cdr:x>0.98969</cdr:x>
      <cdr:y>0.1548</cdr:y>
    </cdr:to>
    <cdr:sp macro="" textlink="">
      <cdr:nvSpPr>
        <cdr:cNvPr id="6" name="ZoneTexte 5"/>
        <cdr:cNvSpPr txBox="1"/>
      </cdr:nvSpPr>
      <cdr:spPr>
        <a:xfrm xmlns:a="http://schemas.openxmlformats.org/drawingml/2006/main">
          <a:off x="38100" y="53044"/>
          <a:ext cx="5448300" cy="4232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fr-FR" sz="3200" b="1"/>
            <a:t>Pyramide de</a:t>
          </a:r>
          <a:r>
            <a:rPr lang="fr-FR" sz="3200" b="1" baseline="0"/>
            <a:t> Maslow de l'Empreinte Carbone</a:t>
          </a:r>
          <a:endParaRPr lang="fr-FR" sz="3200" b="1"/>
        </a:p>
      </cdr:txBody>
    </cdr:sp>
  </cdr:relSizeAnchor>
  <cdr:relSizeAnchor xmlns:cdr="http://schemas.openxmlformats.org/drawingml/2006/chartDrawing">
    <cdr:from>
      <cdr:x>0.73196</cdr:x>
      <cdr:y>0.91321</cdr:y>
    </cdr:from>
    <cdr:to>
      <cdr:x>0.99141</cdr:x>
      <cdr:y>1</cdr:y>
    </cdr:to>
    <cdr:sp macro="" textlink="">
      <cdr:nvSpPr>
        <cdr:cNvPr id="7" name="ZoneTexte 6"/>
        <cdr:cNvSpPr txBox="1"/>
      </cdr:nvSpPr>
      <cdr:spPr>
        <a:xfrm xmlns:a="http://schemas.openxmlformats.org/drawingml/2006/main">
          <a:off x="6812321" y="5554337"/>
          <a:ext cx="2414690" cy="5278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fr-FR" sz="1100"/>
            <a:t>En kg CO2 eq/an</a:t>
          </a:r>
          <a:br>
            <a:rPr lang="fr-FR" sz="1100"/>
          </a:br>
          <a:r>
            <a:rPr lang="fr-FR" sz="1100"/>
            <a:t>ravijen.fr</a:t>
          </a:r>
        </a:p>
      </cdr:txBody>
    </cdr:sp>
  </cdr:relSizeAnchor>
  <cdr:relSizeAnchor xmlns:cdr="http://schemas.openxmlformats.org/drawingml/2006/chartDrawing">
    <cdr:from>
      <cdr:x>0.01973</cdr:x>
      <cdr:y>0.82453</cdr:y>
    </cdr:from>
    <cdr:to>
      <cdr:x>0.30333</cdr:x>
      <cdr:y>0.99245</cdr:y>
    </cdr:to>
    <cdr:sp macro="" textlink="">
      <cdr:nvSpPr>
        <cdr:cNvPr id="9" name="Rectangle à coins arrondis 8"/>
        <cdr:cNvSpPr/>
      </cdr:nvSpPr>
      <cdr:spPr>
        <a:xfrm xmlns:a="http://schemas.openxmlformats.org/drawingml/2006/main">
          <a:off x="183614" y="5014970"/>
          <a:ext cx="2639458" cy="1021354"/>
        </a:xfrm>
        <a:prstGeom xmlns:a="http://schemas.openxmlformats.org/drawingml/2006/main" prst="roundRect">
          <a:avLst/>
        </a:prstGeom>
        <a:solidFill xmlns:a="http://schemas.openxmlformats.org/drawingml/2006/main">
          <a:srgbClr val="0070C0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 anchorCtr="0"/>
        <a:lstStyle xmlns:a="http://schemas.openxmlformats.org/drawingml/2006/main"/>
        <a:p xmlns:a="http://schemas.openxmlformats.org/drawingml/2006/main">
          <a:pPr algn="ctr"/>
          <a:r>
            <a:rPr lang="fr-FR" sz="24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Empreinte</a:t>
          </a:r>
          <a:r>
            <a:rPr lang="fr-FR" sz="24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totale </a:t>
          </a:r>
          <a:endParaRPr lang="fr-FR" sz="2400">
            <a:effectLst/>
          </a:endParaRPr>
        </a:p>
        <a:p xmlns:a="http://schemas.openxmlformats.org/drawingml/2006/main">
          <a:pPr algn="ctr"/>
          <a:r>
            <a:rPr lang="fr-FR" sz="24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12 092 </a:t>
          </a:r>
          <a:r>
            <a:rPr lang="fr-FR" sz="20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kg CO2 eq/an</a:t>
          </a:r>
          <a:endParaRPr lang="fr-FR" sz="2000">
            <a:effectLst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6958" cy="6082229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ranceagrimer.fr/content/download/52763/508694/file/STA-MER-CONSO%202016-juil2017.pdf" TargetMode="External"/><Relationship Id="rId13" Type="http://schemas.openxmlformats.org/officeDocument/2006/relationships/hyperlink" Target="http://agreste.agriculture.gouv.fr/IMG/pdf/Gaf2017p100-105.pdf" TargetMode="External"/><Relationship Id="rId18" Type="http://schemas.openxmlformats.org/officeDocument/2006/relationships/hyperlink" Target="https://www.economie-magazine.com/dossier-30-marche-bricolage-france.html" TargetMode="External"/><Relationship Id="rId26" Type="http://schemas.openxmlformats.org/officeDocument/2006/relationships/vmlDrawing" Target="../drawings/vmlDrawing1.vml"/><Relationship Id="rId3" Type="http://schemas.openxmlformats.org/officeDocument/2006/relationships/hyperlink" Target="https://www.passioncereales.fr/dossier-thematique/les-filieres-riz-et-autres-cereales-en-chiffres" TargetMode="External"/><Relationship Id="rId21" Type="http://schemas.openxmlformats.org/officeDocument/2006/relationships/hyperlink" Target="https://www.internetworldstats.com/stats4.htm" TargetMode="External"/><Relationship Id="rId7" Type="http://schemas.openxmlformats.org/officeDocument/2006/relationships/hyperlink" Target="http://www.franceagrimer.fr/content/download/39054/361017/file/Fiche%20fili%C3%A8re%202014%20-%20Oeufs%20-%20FR.pdf" TargetMode="External"/><Relationship Id="rId12" Type="http://schemas.openxmlformats.org/officeDocument/2006/relationships/hyperlink" Target="https://www.zdnet.fr/actualites/chiffres-cles-le-marche-des-tablettes-39789571.htm" TargetMode="External"/><Relationship Id="rId17" Type="http://schemas.openxmlformats.org/officeDocument/2006/relationships/hyperlink" Target="https://www.ademe.fr/sites/default/files/assets/documents/ademe_mag108_dossier.pdf" TargetMode="External"/><Relationship Id="rId25" Type="http://schemas.openxmlformats.org/officeDocument/2006/relationships/drawing" Target="../drawings/drawing1.xml"/><Relationship Id="rId2" Type="http://schemas.openxmlformats.org/officeDocument/2006/relationships/hyperlink" Target="https://eaumineralenaturelle.fr/chambre-syndicale/leau-minerale-en-chiffres" TargetMode="External"/><Relationship Id="rId16" Type="http://schemas.openxmlformats.org/officeDocument/2006/relationships/hyperlink" Target="https://www.lesechos.fr/13/01/2018/lesechos.fr/0301123997829_quand-la-ville-ensevelit-les-sols.htm" TargetMode="External"/><Relationship Id="rId20" Type="http://schemas.openxmlformats.org/officeDocument/2006/relationships/hyperlink" Target="https://theshiftproject.org/wp-content/uploads/2018/10/2018-10-04_Rapport_Pour-une-sobri%C3%A9t%C3%A9-num%C3%A9rique_Rapport_The-Shift-Project.pdf" TargetMode="External"/><Relationship Id="rId1" Type="http://schemas.openxmlformats.org/officeDocument/2006/relationships/hyperlink" Target="http://www.franceagrimer.fr/content/download/40104/372599/file/STA-VIA-CONSO%202014-aout2015.pdf" TargetMode="External"/><Relationship Id="rId6" Type="http://schemas.openxmlformats.org/officeDocument/2006/relationships/hyperlink" Target="http://agriculture.gouv.fr/infographie-production-et-consommation-de-produits-laitiers-en-France" TargetMode="External"/><Relationship Id="rId11" Type="http://schemas.openxmlformats.org/officeDocument/2006/relationships/hyperlink" Target="https://www.zdnet.fr/actualites/chiffres-cles-les-ventes-de-mobiles-et-de-smartphones-39789928.htm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://www.lefigaro.fr/conso/2018/03/17/20010-20180317ARTFIG00024-apres-36-ans-de-recul-la-consommation-de-biere-repart-en-france.php" TargetMode="External"/><Relationship Id="rId15" Type="http://schemas.openxmlformats.org/officeDocument/2006/relationships/hyperlink" Target="http://agreste.agriculture.gouv.fr/IMG/pdf/Gaf2017p100-105.pdf" TargetMode="External"/><Relationship Id="rId23" Type="http://schemas.openxmlformats.org/officeDocument/2006/relationships/hyperlink" Target="https://www.bonial.fr/info/conso-boissons-sans-alcool-europe/" TargetMode="External"/><Relationship Id="rId10" Type="http://schemas.openxmlformats.org/officeDocument/2006/relationships/hyperlink" Target="http://www.o-immobilierdurable.fr/wp-content/uploads/2016/12/SINTEO_Livre-Blanc-bas-carbone.pdf" TargetMode="External"/><Relationship Id="rId19" Type="http://schemas.openxmlformats.org/officeDocument/2006/relationships/hyperlink" Target="http://www.fmbricolage.com/page?n=40" TargetMode="External"/><Relationship Id="rId4" Type="http://schemas.openxmlformats.org/officeDocument/2006/relationships/hyperlink" Target="http://www.vinetsociete.fr/magazine/article/le-vin-en-quelques-chiffres-cles" TargetMode="External"/><Relationship Id="rId9" Type="http://schemas.openxmlformats.org/officeDocument/2006/relationships/hyperlink" Target="https://www.novethic.fr/actualite/energie/efficacite-energetique/isr-rse/energie-grise-la-face-cachee-de-l-eco-construction-122077.html" TargetMode="External"/><Relationship Id="rId14" Type="http://schemas.openxmlformats.org/officeDocument/2006/relationships/hyperlink" Target="http://agreste.agriculture.gouv.fr/IMG/pdf/Gaf2017p100-105.pdf" TargetMode="External"/><Relationship Id="rId22" Type="http://schemas.openxmlformats.org/officeDocument/2006/relationships/hyperlink" Target="https://www.internetworldstats.com/stats4.htm" TargetMode="External"/><Relationship Id="rId27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Z169"/>
  <sheetViews>
    <sheetView tabSelected="1" zoomScaleNormal="100" workbookViewId="0">
      <pane xSplit="6" ySplit="4" topLeftCell="G5" activePane="bottomRight" state="frozen"/>
      <selection pane="topRight" activeCell="F1" sqref="F1"/>
      <selection pane="bottomLeft" activeCell="A5" sqref="A5"/>
      <selection pane="bottomRight" activeCell="I17" sqref="I17"/>
    </sheetView>
  </sheetViews>
  <sheetFormatPr baseColWidth="10" defaultRowHeight="12.75" x14ac:dyDescent="0.2"/>
  <cols>
    <col min="1" max="2" width="3.140625" customWidth="1"/>
    <col min="3" max="3" width="3.140625" style="1" customWidth="1"/>
    <col min="4" max="4" width="2.42578125" style="2" customWidth="1"/>
    <col min="5" max="5" width="5.28515625" customWidth="1"/>
    <col min="6" max="6" width="18.42578125" customWidth="1"/>
    <col min="7" max="7" width="5" bestFit="1" customWidth="1"/>
    <col min="8" max="8" width="20" style="3" bestFit="1" customWidth="1"/>
    <col min="9" max="9" width="7.5703125" style="4" customWidth="1"/>
    <col min="10" max="10" width="7.7109375" customWidth="1"/>
    <col min="11" max="11" width="8" customWidth="1"/>
    <col min="12" max="12" width="2.85546875" style="427" customWidth="1"/>
    <col min="13" max="13" width="3.7109375" style="427" customWidth="1"/>
    <col min="14" max="14" width="10.28515625" style="4" customWidth="1"/>
    <col min="15" max="15" width="7.140625" style="226" customWidth="1"/>
    <col min="16" max="16" width="7.140625" style="4" customWidth="1"/>
    <col min="17" max="17" width="8" bestFit="1" customWidth="1"/>
    <col min="18" max="20" width="8" customWidth="1"/>
    <col min="21" max="21" width="9.7109375" customWidth="1"/>
    <col min="22" max="22" width="5.85546875" customWidth="1"/>
    <col min="23" max="23" width="11.42578125" style="6"/>
  </cols>
  <sheetData>
    <row r="1" spans="2:23" ht="13.5" thickBot="1" x14ac:dyDescent="0.25">
      <c r="L1" s="224"/>
      <c r="M1" s="4"/>
      <c r="N1" s="226"/>
      <c r="O1" s="5"/>
      <c r="U1" s="6"/>
      <c r="W1"/>
    </row>
    <row r="2" spans="2:23" ht="13.5" customHeight="1" thickBot="1" x14ac:dyDescent="0.25">
      <c r="G2" s="364" t="s">
        <v>198</v>
      </c>
      <c r="H2" s="365"/>
      <c r="I2" s="365"/>
      <c r="J2" s="365"/>
      <c r="K2" s="366"/>
      <c r="L2" s="383"/>
      <c r="M2" s="4"/>
      <c r="N2" s="406" t="s">
        <v>200</v>
      </c>
      <c r="O2" s="410" t="s">
        <v>197</v>
      </c>
      <c r="P2" s="411"/>
      <c r="Q2" s="411"/>
      <c r="R2" s="412"/>
      <c r="S2" s="8"/>
      <c r="T2" s="9" t="s">
        <v>0</v>
      </c>
      <c r="U2" s="376"/>
      <c r="V2" s="10" t="s">
        <v>1</v>
      </c>
      <c r="W2"/>
    </row>
    <row r="3" spans="2:23" ht="13.5" thickBot="1" x14ac:dyDescent="0.25">
      <c r="G3" s="416"/>
      <c r="H3" s="417"/>
      <c r="I3" s="418">
        <v>10397</v>
      </c>
      <c r="J3" s="419"/>
      <c r="K3" s="420"/>
      <c r="L3" s="224"/>
      <c r="M3" s="4"/>
      <c r="N3" s="381">
        <f>+SUMIF(M5:M93,"x",N5:N93)</f>
        <v>11131</v>
      </c>
      <c r="O3" s="413"/>
      <c r="P3" s="414"/>
      <c r="Q3" s="414"/>
      <c r="R3" s="415"/>
      <c r="S3" s="8"/>
      <c r="T3" s="8"/>
      <c r="U3" s="377" t="s">
        <v>194</v>
      </c>
      <c r="W3"/>
    </row>
    <row r="4" spans="2:23" ht="13.5" thickBot="1" x14ac:dyDescent="0.25">
      <c r="B4">
        <f>1+B3</f>
        <v>1</v>
      </c>
      <c r="C4" s="1" t="s">
        <v>2</v>
      </c>
      <c r="L4" s="224"/>
      <c r="M4" s="4"/>
      <c r="N4" s="380"/>
      <c r="O4" s="5"/>
      <c r="Q4" s="409">
        <f>+SUM(Q5:Q93)</f>
        <v>12091.933390978846</v>
      </c>
      <c r="R4" s="12">
        <f>+Q4/$Q$4</f>
        <v>1</v>
      </c>
      <c r="U4" s="376"/>
      <c r="W4"/>
    </row>
    <row r="5" spans="2:23" ht="14.25" thickTop="1" thickBot="1" x14ac:dyDescent="0.25">
      <c r="B5">
        <f t="shared" ref="B5:B74" si="0">1+B4</f>
        <v>2</v>
      </c>
      <c r="D5" s="13" t="s">
        <v>5</v>
      </c>
      <c r="E5" s="14"/>
      <c r="F5" s="14"/>
      <c r="G5" s="14"/>
      <c r="H5" s="15"/>
      <c r="I5" s="16">
        <v>2457</v>
      </c>
      <c r="J5" s="17"/>
      <c r="K5" s="17">
        <f>+(I5)/$I$3</f>
        <v>0.23631816870251035</v>
      </c>
      <c r="L5" s="17"/>
      <c r="M5" s="404" t="s">
        <v>5</v>
      </c>
      <c r="N5" s="403"/>
      <c r="O5" s="18"/>
      <c r="P5" s="19"/>
      <c r="Q5" s="20">
        <f>+SUM(O7:O46)</f>
        <v>2352.6119999999996</v>
      </c>
      <c r="R5" s="21">
        <f>+Q5/$Q$4</f>
        <v>0.19456044984130988</v>
      </c>
      <c r="S5" s="423" t="s">
        <v>3</v>
      </c>
      <c r="T5" s="424" t="s">
        <v>4</v>
      </c>
      <c r="U5" s="376"/>
      <c r="W5"/>
    </row>
    <row r="6" spans="2:23" ht="13.5" thickTop="1" x14ac:dyDescent="0.2">
      <c r="B6">
        <f t="shared" si="0"/>
        <v>3</v>
      </c>
      <c r="D6" s="23"/>
      <c r="E6" s="24" t="s">
        <v>100</v>
      </c>
      <c r="F6" s="24"/>
      <c r="G6" s="25">
        <v>0.25</v>
      </c>
      <c r="H6" s="26">
        <f>+G6*$I$5</f>
        <v>614.25</v>
      </c>
      <c r="I6" s="27"/>
      <c r="J6" s="28">
        <f>+(H6)/$I$3</f>
        <v>5.9079542175627588E-2</v>
      </c>
      <c r="K6" s="28"/>
      <c r="L6" s="28"/>
      <c r="M6" s="400" t="s">
        <v>199</v>
      </c>
      <c r="N6" s="397">
        <v>1816</v>
      </c>
      <c r="O6" s="30"/>
      <c r="P6" s="31"/>
      <c r="Q6" s="22"/>
      <c r="R6" s="22"/>
      <c r="S6" s="8"/>
      <c r="T6" s="8"/>
      <c r="U6" s="376"/>
      <c r="W6"/>
    </row>
    <row r="7" spans="2:23" x14ac:dyDescent="0.2">
      <c r="B7">
        <f t="shared" si="0"/>
        <v>4</v>
      </c>
      <c r="D7" s="23"/>
      <c r="E7" s="24"/>
      <c r="F7" s="24" t="s">
        <v>7</v>
      </c>
      <c r="G7" s="25"/>
      <c r="H7" s="26"/>
      <c r="I7" s="27"/>
      <c r="J7" s="28"/>
      <c r="K7" s="28"/>
      <c r="L7" s="28"/>
      <c r="M7" s="387"/>
      <c r="N7" s="388"/>
      <c r="O7" s="434">
        <f>+T7*V7</f>
        <v>49.125</v>
      </c>
      <c r="P7" s="31">
        <f>+SUM(O7:O10)</f>
        <v>262.77700000000004</v>
      </c>
      <c r="Q7" s="22"/>
      <c r="R7" s="22"/>
      <c r="S7" s="33">
        <f>+T7*1000/365</f>
        <v>342.46575342465752</v>
      </c>
      <c r="T7" s="9">
        <v>125</v>
      </c>
      <c r="U7" s="378" t="s">
        <v>8</v>
      </c>
      <c r="V7">
        <v>0.39300000000000002</v>
      </c>
      <c r="W7"/>
    </row>
    <row r="8" spans="2:23" x14ac:dyDescent="0.2">
      <c r="B8">
        <f t="shared" si="0"/>
        <v>5</v>
      </c>
      <c r="D8" s="23"/>
      <c r="E8" s="24"/>
      <c r="F8" s="24" t="s">
        <v>9</v>
      </c>
      <c r="G8" s="25"/>
      <c r="H8" s="26"/>
      <c r="I8" s="27"/>
      <c r="J8" s="28"/>
      <c r="K8" s="28"/>
      <c r="L8" s="28"/>
      <c r="M8" s="387"/>
      <c r="N8" s="388"/>
      <c r="O8" s="433">
        <f>+T8*V8</f>
        <v>68.451999999999998</v>
      </c>
      <c r="P8" s="31"/>
      <c r="Q8" s="22"/>
      <c r="R8" s="22"/>
      <c r="S8" s="33">
        <f>+T8*1000/365</f>
        <v>172.05479452054794</v>
      </c>
      <c r="T8" s="9">
        <v>62.8</v>
      </c>
      <c r="U8" s="378" t="s">
        <v>10</v>
      </c>
      <c r="V8">
        <v>1.0900000000000001</v>
      </c>
      <c r="W8"/>
    </row>
    <row r="9" spans="2:23" x14ac:dyDescent="0.2">
      <c r="B9">
        <f t="shared" si="0"/>
        <v>6</v>
      </c>
      <c r="D9" s="23"/>
      <c r="E9" s="24"/>
      <c r="F9" s="24" t="s">
        <v>11</v>
      </c>
      <c r="G9" s="25"/>
      <c r="H9" s="26"/>
      <c r="I9" s="27"/>
      <c r="J9" s="28"/>
      <c r="K9" s="28"/>
      <c r="L9" s="28"/>
      <c r="M9" s="387"/>
      <c r="N9" s="388"/>
      <c r="O9" s="433">
        <f>+T9*V9</f>
        <v>58.8</v>
      </c>
      <c r="P9" s="31"/>
      <c r="Q9" s="22"/>
      <c r="R9" s="22"/>
      <c r="S9" s="33">
        <f>+T9*1000/365</f>
        <v>115.06849315068493</v>
      </c>
      <c r="T9" s="9">
        <v>42</v>
      </c>
      <c r="U9" s="378" t="s">
        <v>12</v>
      </c>
      <c r="V9">
        <v>1.4</v>
      </c>
      <c r="W9" s="436" t="s">
        <v>23</v>
      </c>
    </row>
    <row r="10" spans="2:23" x14ac:dyDescent="0.2">
      <c r="B10">
        <f t="shared" si="0"/>
        <v>7</v>
      </c>
      <c r="D10" s="23"/>
      <c r="E10" s="24"/>
      <c r="F10" s="35" t="s">
        <v>13</v>
      </c>
      <c r="G10" s="25"/>
      <c r="H10" s="26"/>
      <c r="I10" s="27"/>
      <c r="J10" s="28"/>
      <c r="K10" s="28"/>
      <c r="L10" s="28"/>
      <c r="M10" s="387"/>
      <c r="N10" s="388"/>
      <c r="O10" s="435">
        <f>+T10*V10</f>
        <v>86.4</v>
      </c>
      <c r="P10" s="31"/>
      <c r="Q10" s="22"/>
      <c r="R10" s="22"/>
      <c r="S10" s="33">
        <f>+T10*1000/365</f>
        <v>87.671232876712324</v>
      </c>
      <c r="T10" s="9">
        <v>32</v>
      </c>
      <c r="U10" s="378" t="s">
        <v>14</v>
      </c>
      <c r="V10">
        <v>2.7</v>
      </c>
      <c r="W10"/>
    </row>
    <row r="11" spans="2:23" s="138" customFormat="1" x14ac:dyDescent="0.2">
      <c r="C11" s="1"/>
      <c r="D11" s="23"/>
      <c r="E11" s="24"/>
      <c r="F11" s="35"/>
      <c r="G11" s="25"/>
      <c r="H11" s="26"/>
      <c r="I11" s="27"/>
      <c r="J11" s="28"/>
      <c r="K11" s="28"/>
      <c r="L11" s="28"/>
      <c r="M11" s="387"/>
      <c r="N11" s="388"/>
      <c r="O11" s="30"/>
      <c r="P11" s="31"/>
      <c r="Q11" s="22"/>
      <c r="R11" s="22"/>
      <c r="S11" s="33"/>
      <c r="T11" s="9"/>
      <c r="U11" s="378"/>
    </row>
    <row r="12" spans="2:23" x14ac:dyDescent="0.2">
      <c r="B12">
        <f>1+B10</f>
        <v>8</v>
      </c>
      <c r="D12" s="23"/>
      <c r="E12" s="24" t="s">
        <v>127</v>
      </c>
      <c r="F12" s="35"/>
      <c r="G12" s="25"/>
      <c r="H12" s="26"/>
      <c r="I12" s="27"/>
      <c r="J12" s="28"/>
      <c r="K12" s="28"/>
      <c r="L12" s="28"/>
      <c r="M12" s="387"/>
      <c r="N12" s="388"/>
      <c r="O12" s="384"/>
      <c r="P12" s="31">
        <f>+SUM(O12:O19)</f>
        <v>147.755</v>
      </c>
      <c r="Q12" s="22"/>
      <c r="R12" s="22"/>
      <c r="S12" s="8"/>
      <c r="T12" s="9"/>
      <c r="U12" s="378"/>
      <c r="W12"/>
    </row>
    <row r="13" spans="2:23" x14ac:dyDescent="0.2">
      <c r="B13">
        <f t="shared" si="0"/>
        <v>9</v>
      </c>
      <c r="D13" s="23"/>
      <c r="E13" s="24"/>
      <c r="F13" s="24" t="s">
        <v>15</v>
      </c>
      <c r="G13" s="25"/>
      <c r="H13" s="26"/>
      <c r="I13" s="27"/>
      <c r="J13" s="28"/>
      <c r="K13" s="28"/>
      <c r="L13" s="28"/>
      <c r="M13" s="387"/>
      <c r="N13" s="388"/>
      <c r="O13" s="385">
        <f>+T13*V13</f>
        <v>11.475</v>
      </c>
      <c r="P13" s="31"/>
      <c r="Q13" s="22"/>
      <c r="R13" s="22"/>
      <c r="S13" s="33">
        <f t="shared" ref="S13:S19" si="1">+T13*1000/365</f>
        <v>12.328767123287671</v>
      </c>
      <c r="T13" s="9">
        <v>4.5</v>
      </c>
      <c r="U13" s="378" t="s">
        <v>16</v>
      </c>
      <c r="V13">
        <v>2.5499999999999998</v>
      </c>
      <c r="W13"/>
    </row>
    <row r="14" spans="2:23" x14ac:dyDescent="0.2">
      <c r="B14">
        <f t="shared" si="0"/>
        <v>10</v>
      </c>
      <c r="D14" s="23"/>
      <c r="E14" s="24"/>
      <c r="F14" s="35" t="s">
        <v>17</v>
      </c>
      <c r="G14" s="25"/>
      <c r="H14" s="26"/>
      <c r="I14" s="27"/>
      <c r="J14" s="28"/>
      <c r="K14" s="28"/>
      <c r="L14" s="28"/>
      <c r="M14" s="387"/>
      <c r="N14" s="388"/>
      <c r="O14" s="385">
        <f>+T14*V14</f>
        <v>54</v>
      </c>
      <c r="P14" s="31"/>
      <c r="Q14" s="22"/>
      <c r="R14" s="22"/>
      <c r="S14" s="33">
        <f t="shared" si="1"/>
        <v>98.630136986301366</v>
      </c>
      <c r="T14" s="9">
        <v>36</v>
      </c>
      <c r="U14" s="378"/>
      <c r="V14">
        <v>1.5</v>
      </c>
      <c r="W14"/>
    </row>
    <row r="15" spans="2:23" x14ac:dyDescent="0.2">
      <c r="B15">
        <f t="shared" si="0"/>
        <v>11</v>
      </c>
      <c r="D15" s="23"/>
      <c r="E15" s="24"/>
      <c r="F15" s="35" t="s">
        <v>18</v>
      </c>
      <c r="G15" s="25"/>
      <c r="H15" s="26"/>
      <c r="I15" s="27"/>
      <c r="J15" s="28"/>
      <c r="K15" s="28"/>
      <c r="L15" s="28"/>
      <c r="M15" s="387"/>
      <c r="N15" s="388"/>
      <c r="O15" s="385">
        <f>+T15*V15</f>
        <v>28.56</v>
      </c>
      <c r="P15" s="31"/>
      <c r="Q15" s="22"/>
      <c r="R15" s="22"/>
      <c r="S15" s="33">
        <f t="shared" si="1"/>
        <v>130.41095890410958</v>
      </c>
      <c r="T15" s="9">
        <v>47.6</v>
      </c>
      <c r="U15" s="378" t="s">
        <v>19</v>
      </c>
      <c r="V15">
        <v>0.6</v>
      </c>
      <c r="W15"/>
    </row>
    <row r="16" spans="2:23" x14ac:dyDescent="0.2">
      <c r="B16">
        <f t="shared" si="0"/>
        <v>12</v>
      </c>
      <c r="D16" s="23"/>
      <c r="E16" s="24"/>
      <c r="F16" s="35" t="s">
        <v>20</v>
      </c>
      <c r="G16" s="25"/>
      <c r="H16" s="26"/>
      <c r="I16" s="27"/>
      <c r="J16" s="28"/>
      <c r="K16" s="28"/>
      <c r="L16" s="28"/>
      <c r="M16" s="387"/>
      <c r="N16" s="388"/>
      <c r="O16" s="385">
        <f>+T16*V16</f>
        <v>23</v>
      </c>
      <c r="P16" s="31"/>
      <c r="Q16" s="22"/>
      <c r="R16" s="22"/>
      <c r="S16" s="33">
        <f t="shared" si="1"/>
        <v>31.506849315068493</v>
      </c>
      <c r="T16" s="9">
        <v>11.5</v>
      </c>
      <c r="U16" s="378" t="s">
        <v>19</v>
      </c>
      <c r="V16">
        <v>2</v>
      </c>
      <c r="W16"/>
    </row>
    <row r="17" spans="2:23" x14ac:dyDescent="0.2">
      <c r="B17">
        <f t="shared" si="0"/>
        <v>13</v>
      </c>
      <c r="D17" s="23"/>
      <c r="E17" s="24"/>
      <c r="F17" s="35" t="s">
        <v>21</v>
      </c>
      <c r="G17" s="25"/>
      <c r="H17" s="26"/>
      <c r="I17" s="27"/>
      <c r="J17" s="28"/>
      <c r="K17" s="28"/>
      <c r="L17" s="28"/>
      <c r="M17" s="387"/>
      <c r="N17" s="388"/>
      <c r="O17" s="385">
        <f>+T17*V17</f>
        <v>18.72</v>
      </c>
      <c r="P17" s="31"/>
      <c r="Q17" s="22"/>
      <c r="R17" s="22"/>
      <c r="S17" s="33">
        <f t="shared" si="1"/>
        <v>85.479452054794521</v>
      </c>
      <c r="T17" s="9">
        <v>31.2</v>
      </c>
      <c r="U17" s="378"/>
      <c r="V17">
        <v>0.6</v>
      </c>
      <c r="W17"/>
    </row>
    <row r="18" spans="2:23" s="138" customFormat="1" x14ac:dyDescent="0.2">
      <c r="C18" s="1"/>
      <c r="D18" s="23"/>
      <c r="E18" s="24"/>
      <c r="F18" s="35"/>
      <c r="G18" s="25"/>
      <c r="H18" s="26"/>
      <c r="I18" s="27"/>
      <c r="J18" s="28"/>
      <c r="K18" s="28"/>
      <c r="L18" s="28"/>
      <c r="M18" s="387"/>
      <c r="N18" s="388"/>
      <c r="O18" s="385"/>
      <c r="P18" s="31"/>
      <c r="Q18" s="22"/>
      <c r="R18" s="22"/>
      <c r="S18" s="33"/>
      <c r="T18" s="9"/>
      <c r="U18" s="378"/>
    </row>
    <row r="19" spans="2:23" s="137" customFormat="1" x14ac:dyDescent="0.2">
      <c r="C19" s="1"/>
      <c r="D19" s="23"/>
      <c r="E19" s="24"/>
      <c r="F19" s="35" t="s">
        <v>128</v>
      </c>
      <c r="G19" s="25"/>
      <c r="H19" s="26"/>
      <c r="I19" s="27"/>
      <c r="J19" s="28"/>
      <c r="K19" s="28"/>
      <c r="L19" s="28"/>
      <c r="M19" s="387"/>
      <c r="N19" s="388"/>
      <c r="O19" s="386">
        <f>+T19*V19</f>
        <v>12</v>
      </c>
      <c r="P19" s="31"/>
      <c r="Q19" s="22"/>
      <c r="R19" s="22"/>
      <c r="S19" s="33">
        <f t="shared" si="1"/>
        <v>21.917808219178081</v>
      </c>
      <c r="T19" s="9">
        <v>8</v>
      </c>
      <c r="U19" s="378"/>
      <c r="V19" s="137">
        <v>1.5</v>
      </c>
    </row>
    <row r="20" spans="2:23" x14ac:dyDescent="0.2">
      <c r="B20">
        <f>1+B17</f>
        <v>14</v>
      </c>
      <c r="D20" s="23"/>
      <c r="E20" s="24"/>
      <c r="F20" s="35"/>
      <c r="G20" s="25"/>
      <c r="H20" s="26"/>
      <c r="I20" s="27"/>
      <c r="J20" s="28"/>
      <c r="K20" s="28"/>
      <c r="L20" s="28"/>
      <c r="M20" s="387"/>
      <c r="N20" s="388"/>
      <c r="O20" s="30"/>
      <c r="P20" s="31"/>
      <c r="Q20" s="22"/>
      <c r="R20" s="22"/>
      <c r="S20" s="33"/>
      <c r="T20" s="9"/>
      <c r="U20" s="378"/>
      <c r="W20"/>
    </row>
    <row r="21" spans="2:23" x14ac:dyDescent="0.2">
      <c r="B21">
        <f t="shared" si="0"/>
        <v>15</v>
      </c>
      <c r="D21" s="23"/>
      <c r="E21" s="35" t="s">
        <v>22</v>
      </c>
      <c r="G21" s="25"/>
      <c r="H21" s="26"/>
      <c r="I21" s="27"/>
      <c r="J21" s="28"/>
      <c r="K21" s="28"/>
      <c r="L21" s="28"/>
      <c r="M21" s="387"/>
      <c r="N21" s="388"/>
      <c r="O21" s="384">
        <f>+T21*V21</f>
        <v>102.2</v>
      </c>
      <c r="P21" s="31">
        <f>+SUM(O21:O24)</f>
        <v>102.2</v>
      </c>
      <c r="Q21" s="22"/>
      <c r="R21" s="22"/>
      <c r="S21" s="33">
        <f>+T21*1000/365</f>
        <v>280</v>
      </c>
      <c r="T21" s="9">
        <f>0.28*365</f>
        <v>102.2</v>
      </c>
      <c r="U21" s="378"/>
      <c r="V21">
        <v>1</v>
      </c>
      <c r="W21"/>
    </row>
    <row r="22" spans="2:23" s="138" customFormat="1" x14ac:dyDescent="0.2">
      <c r="C22" s="1"/>
      <c r="D22" s="23"/>
      <c r="E22" s="35"/>
      <c r="F22" s="179" t="s">
        <v>130</v>
      </c>
      <c r="G22" s="25"/>
      <c r="H22" s="26"/>
      <c r="I22" s="27"/>
      <c r="J22" s="28"/>
      <c r="K22" s="28"/>
      <c r="L22" s="28"/>
      <c r="M22" s="387"/>
      <c r="N22" s="388"/>
      <c r="O22" s="385"/>
      <c r="P22" s="31"/>
      <c r="Q22" s="22"/>
      <c r="R22" s="22"/>
      <c r="S22" s="33"/>
      <c r="T22" s="9"/>
      <c r="U22" s="378"/>
    </row>
    <row r="23" spans="2:23" s="138" customFormat="1" x14ac:dyDescent="0.2">
      <c r="C23" s="1"/>
      <c r="D23" s="23"/>
      <c r="E23" s="35"/>
      <c r="G23" s="25"/>
      <c r="H23" s="26"/>
      <c r="I23" s="27"/>
      <c r="J23" s="28"/>
      <c r="K23" s="28"/>
      <c r="L23" s="28"/>
      <c r="M23" s="387"/>
      <c r="N23" s="388"/>
      <c r="O23" s="385"/>
      <c r="P23" s="31"/>
      <c r="Q23" s="22"/>
      <c r="R23" s="22"/>
      <c r="S23" s="33"/>
      <c r="T23" s="9"/>
      <c r="U23" s="378"/>
    </row>
    <row r="24" spans="2:23" x14ac:dyDescent="0.2">
      <c r="B24">
        <f>1+B21</f>
        <v>16</v>
      </c>
      <c r="D24" s="23"/>
      <c r="E24" s="24"/>
      <c r="F24" s="24"/>
      <c r="G24" s="25"/>
      <c r="H24" s="26"/>
      <c r="I24" s="27"/>
      <c r="J24" s="28"/>
      <c r="K24" s="28"/>
      <c r="L24" s="28"/>
      <c r="M24" s="387"/>
      <c r="N24" s="388"/>
      <c r="O24" s="386"/>
      <c r="P24" s="31"/>
      <c r="Q24" s="22"/>
      <c r="R24" s="22"/>
      <c r="S24" s="8"/>
      <c r="T24" s="382" t="s">
        <v>115</v>
      </c>
      <c r="U24" s="378"/>
      <c r="W24"/>
    </row>
    <row r="25" spans="2:23" x14ac:dyDescent="0.2">
      <c r="B25">
        <f t="shared" si="0"/>
        <v>17</v>
      </c>
      <c r="D25" s="23"/>
      <c r="E25" s="24"/>
      <c r="F25" s="24"/>
      <c r="G25" s="25"/>
      <c r="H25" s="26"/>
      <c r="I25" s="27"/>
      <c r="J25" s="28"/>
      <c r="K25" s="28"/>
      <c r="L25" s="28"/>
      <c r="M25" s="387"/>
      <c r="N25" s="388"/>
      <c r="O25" s="30"/>
      <c r="P25" s="31"/>
      <c r="Q25" s="22"/>
      <c r="R25" s="22"/>
      <c r="S25" s="8"/>
      <c r="T25" s="9"/>
      <c r="U25" s="379"/>
      <c r="W25"/>
    </row>
    <row r="26" spans="2:23" x14ac:dyDescent="0.2">
      <c r="B26">
        <f t="shared" si="0"/>
        <v>18</v>
      </c>
      <c r="D26" s="23"/>
      <c r="E26" s="24" t="s">
        <v>24</v>
      </c>
      <c r="G26" s="25"/>
      <c r="H26" s="26"/>
      <c r="I26" s="27"/>
      <c r="J26" s="28"/>
      <c r="K26" s="28"/>
      <c r="L26" s="28"/>
      <c r="M26" s="387"/>
      <c r="N26" s="388"/>
      <c r="O26" s="384">
        <v>288</v>
      </c>
      <c r="P26" s="31">
        <f>+O26</f>
        <v>288</v>
      </c>
      <c r="Q26" s="22"/>
      <c r="R26" s="22"/>
      <c r="S26" s="8"/>
      <c r="T26" s="9"/>
      <c r="U26" s="378"/>
      <c r="W26"/>
    </row>
    <row r="27" spans="2:23" s="138" customFormat="1" x14ac:dyDescent="0.2">
      <c r="C27" s="1"/>
      <c r="D27" s="23"/>
      <c r="E27" s="24"/>
      <c r="F27" s="179" t="s">
        <v>129</v>
      </c>
      <c r="G27" s="25"/>
      <c r="H27" s="26"/>
      <c r="I27" s="27"/>
      <c r="J27" s="28"/>
      <c r="K27" s="28"/>
      <c r="L27" s="28"/>
      <c r="M27" s="387"/>
      <c r="N27" s="388"/>
      <c r="O27" s="386"/>
      <c r="P27" s="31"/>
      <c r="Q27" s="22"/>
      <c r="R27" s="22"/>
      <c r="S27" s="8"/>
      <c r="T27" s="9"/>
      <c r="U27" s="378"/>
    </row>
    <row r="28" spans="2:23" x14ac:dyDescent="0.2">
      <c r="B28">
        <f>1+B26</f>
        <v>19</v>
      </c>
      <c r="D28" s="23"/>
      <c r="E28" s="24"/>
      <c r="G28" s="25"/>
      <c r="H28" s="26"/>
      <c r="I28" s="27"/>
      <c r="J28" s="28"/>
      <c r="K28" s="28"/>
      <c r="L28" s="28"/>
      <c r="M28" s="387"/>
      <c r="N28" s="388"/>
      <c r="O28" s="30"/>
      <c r="P28" s="31"/>
      <c r="Q28" s="22"/>
      <c r="R28" s="22"/>
      <c r="S28" s="8"/>
      <c r="T28" s="9"/>
      <c r="U28" s="378"/>
      <c r="W28"/>
    </row>
    <row r="29" spans="2:23" x14ac:dyDescent="0.2">
      <c r="B29">
        <f t="shared" si="0"/>
        <v>20</v>
      </c>
      <c r="D29" s="23"/>
      <c r="E29" s="24"/>
      <c r="F29" s="24"/>
      <c r="G29" s="25"/>
      <c r="H29" s="26"/>
      <c r="I29" s="27"/>
      <c r="J29" s="28"/>
      <c r="K29" s="28"/>
      <c r="L29" s="28"/>
      <c r="M29" s="387"/>
      <c r="N29" s="388"/>
      <c r="O29" s="30"/>
      <c r="P29" s="31"/>
      <c r="Q29" s="22"/>
      <c r="R29" s="22"/>
      <c r="S29" s="8"/>
      <c r="T29" s="9"/>
      <c r="U29" s="378"/>
      <c r="W29"/>
    </row>
    <row r="30" spans="2:23" x14ac:dyDescent="0.2">
      <c r="B30">
        <f t="shared" si="0"/>
        <v>21</v>
      </c>
      <c r="D30" s="23"/>
      <c r="E30" s="24" t="s">
        <v>25</v>
      </c>
      <c r="F30" s="24"/>
      <c r="G30" s="25">
        <v>0.34</v>
      </c>
      <c r="H30" s="26">
        <f>+G30*$I$5</f>
        <v>835.38000000000011</v>
      </c>
      <c r="I30" s="27"/>
      <c r="J30" s="28">
        <f>+(H30)/$I$3</f>
        <v>8.0348177358853523E-2</v>
      </c>
      <c r="K30" s="28"/>
      <c r="L30" s="28"/>
      <c r="M30" s="387"/>
      <c r="N30" s="388"/>
      <c r="O30" s="30"/>
      <c r="P30" s="31">
        <f>+SUM(O31:O36)</f>
        <v>408.18000000000006</v>
      </c>
      <c r="Q30" s="22"/>
      <c r="R30" s="22"/>
      <c r="S30" s="8"/>
      <c r="T30" s="8"/>
      <c r="U30" s="376"/>
      <c r="W30"/>
    </row>
    <row r="31" spans="2:23" x14ac:dyDescent="0.2">
      <c r="B31">
        <f t="shared" si="0"/>
        <v>22</v>
      </c>
      <c r="D31" s="23"/>
      <c r="E31" s="24"/>
      <c r="F31" s="35" t="s">
        <v>26</v>
      </c>
      <c r="G31" s="25"/>
      <c r="H31" s="26"/>
      <c r="I31" s="27"/>
      <c r="J31" s="28"/>
      <c r="K31" s="28"/>
      <c r="L31" s="28"/>
      <c r="M31" s="387"/>
      <c r="N31" s="388"/>
      <c r="O31" s="30">
        <f>+T31*V31</f>
        <v>74.399999999999991</v>
      </c>
      <c r="P31" s="31"/>
      <c r="Q31" s="22"/>
      <c r="R31" s="22"/>
      <c r="S31" s="33">
        <f t="shared" ref="S31:S36" si="2">+T31*1000/365</f>
        <v>169.86301369863014</v>
      </c>
      <c r="T31" s="8">
        <v>62</v>
      </c>
      <c r="U31" s="378" t="s">
        <v>27</v>
      </c>
      <c r="V31">
        <v>1.2</v>
      </c>
      <c r="W31"/>
    </row>
    <row r="32" spans="2:23" x14ac:dyDescent="0.2">
      <c r="B32">
        <f t="shared" si="0"/>
        <v>23</v>
      </c>
      <c r="D32" s="23"/>
      <c r="E32" s="24"/>
      <c r="F32" s="35" t="s">
        <v>28</v>
      </c>
      <c r="G32" s="25"/>
      <c r="H32" s="26"/>
      <c r="I32" s="27"/>
      <c r="J32" s="28"/>
      <c r="K32" s="28"/>
      <c r="L32" s="28"/>
      <c r="M32" s="387"/>
      <c r="N32" s="388"/>
      <c r="O32" s="30">
        <f>+T32*V32</f>
        <v>93.96</v>
      </c>
      <c r="P32" s="31"/>
      <c r="Q32" s="22"/>
      <c r="R32" s="22"/>
      <c r="S32" s="33">
        <f t="shared" si="2"/>
        <v>88.767123287671239</v>
      </c>
      <c r="T32" s="8">
        <f>37-T34</f>
        <v>32.4</v>
      </c>
      <c r="U32" s="378"/>
      <c r="V32">
        <v>2.9</v>
      </c>
      <c r="W32"/>
    </row>
    <row r="33" spans="2:24" x14ac:dyDescent="0.2">
      <c r="B33">
        <f t="shared" si="0"/>
        <v>24</v>
      </c>
      <c r="D33" s="23"/>
      <c r="E33" s="24"/>
      <c r="F33" s="35" t="s">
        <v>29</v>
      </c>
      <c r="G33" s="25"/>
      <c r="H33" s="26"/>
      <c r="I33" s="27"/>
      <c r="J33" s="28"/>
      <c r="K33" s="28"/>
      <c r="L33" s="28"/>
      <c r="M33" s="387"/>
      <c r="N33" s="388"/>
      <c r="O33" s="30">
        <f>+T33*V33</f>
        <v>120</v>
      </c>
      <c r="P33" s="31"/>
      <c r="Q33" s="22"/>
      <c r="R33" s="22"/>
      <c r="S33" s="33">
        <f t="shared" si="2"/>
        <v>65.753424657534254</v>
      </c>
      <c r="T33" s="8">
        <v>24</v>
      </c>
      <c r="U33" s="376"/>
      <c r="V33">
        <v>5</v>
      </c>
      <c r="W33"/>
    </row>
    <row r="34" spans="2:24" x14ac:dyDescent="0.2">
      <c r="B34">
        <f t="shared" si="0"/>
        <v>25</v>
      </c>
      <c r="D34" s="23"/>
      <c r="E34" s="24"/>
      <c r="F34" s="35" t="s">
        <v>30</v>
      </c>
      <c r="G34" s="25"/>
      <c r="H34" s="26"/>
      <c r="I34" s="27"/>
      <c r="J34" s="28"/>
      <c r="K34" s="28"/>
      <c r="L34" s="28"/>
      <c r="M34" s="387"/>
      <c r="N34" s="388"/>
      <c r="O34" s="30">
        <f>+T34*V34</f>
        <v>16.099999999999998</v>
      </c>
      <c r="P34" s="31"/>
      <c r="Q34" s="22"/>
      <c r="R34" s="22"/>
      <c r="S34" s="33">
        <f t="shared" si="2"/>
        <v>12.602739726027398</v>
      </c>
      <c r="T34" s="8">
        <v>4.5999999999999996</v>
      </c>
      <c r="U34" s="378" t="s">
        <v>31</v>
      </c>
      <c r="V34">
        <v>3.5</v>
      </c>
      <c r="W34"/>
    </row>
    <row r="35" spans="2:24" x14ac:dyDescent="0.2">
      <c r="B35">
        <f t="shared" si="0"/>
        <v>26</v>
      </c>
      <c r="D35" s="23"/>
      <c r="E35" s="24"/>
      <c r="F35" s="35" t="s">
        <v>32</v>
      </c>
      <c r="G35" s="25"/>
      <c r="H35" s="26"/>
      <c r="I35" s="27"/>
      <c r="J35" s="28"/>
      <c r="K35" s="28"/>
      <c r="L35" s="28"/>
      <c r="M35" s="387"/>
      <c r="N35" s="388"/>
      <c r="O35" s="30">
        <f>+T35*V35</f>
        <v>76</v>
      </c>
      <c r="P35" s="31"/>
      <c r="Q35" s="22"/>
      <c r="R35" s="22"/>
      <c r="S35" s="33">
        <f t="shared" si="2"/>
        <v>21.917808219178081</v>
      </c>
      <c r="T35" s="8">
        <v>8</v>
      </c>
      <c r="U35" s="376"/>
      <c r="V35">
        <v>9.5</v>
      </c>
      <c r="W35"/>
    </row>
    <row r="36" spans="2:24" x14ac:dyDescent="0.2">
      <c r="B36">
        <f t="shared" si="0"/>
        <v>27</v>
      </c>
      <c r="D36" s="23"/>
      <c r="E36" s="24"/>
      <c r="F36" s="35" t="s">
        <v>33</v>
      </c>
      <c r="G36" s="25"/>
      <c r="H36" s="26"/>
      <c r="I36" s="27"/>
      <c r="J36" s="28"/>
      <c r="K36" s="28"/>
      <c r="L36" s="28"/>
      <c r="M36" s="387"/>
      <c r="N36" s="388"/>
      <c r="O36" s="30">
        <f>+T36*V36</f>
        <v>27.72</v>
      </c>
      <c r="P36" s="31"/>
      <c r="Q36" s="22"/>
      <c r="R36" s="22"/>
      <c r="S36" s="33">
        <f t="shared" si="2"/>
        <v>36.164383561643838</v>
      </c>
      <c r="T36" s="8">
        <v>13.2</v>
      </c>
      <c r="U36" s="378" t="s">
        <v>34</v>
      </c>
      <c r="V36">
        <v>2.1</v>
      </c>
      <c r="W36"/>
    </row>
    <row r="37" spans="2:24" x14ac:dyDescent="0.2">
      <c r="B37">
        <f t="shared" si="0"/>
        <v>28</v>
      </c>
      <c r="D37" s="23"/>
      <c r="E37" s="24"/>
      <c r="F37" s="35"/>
      <c r="G37" s="25"/>
      <c r="H37" s="26"/>
      <c r="I37" s="27"/>
      <c r="J37" s="28"/>
      <c r="K37" s="28"/>
      <c r="L37" s="28"/>
      <c r="M37" s="387"/>
      <c r="N37" s="388"/>
      <c r="O37" s="30"/>
      <c r="P37" s="31"/>
      <c r="Q37" s="22"/>
      <c r="R37" s="22"/>
      <c r="S37" s="8"/>
      <c r="T37" s="8"/>
      <c r="U37" s="376"/>
      <c r="W37"/>
    </row>
    <row r="38" spans="2:24" x14ac:dyDescent="0.2">
      <c r="B38">
        <f t="shared" si="0"/>
        <v>29</v>
      </c>
      <c r="D38" s="23"/>
      <c r="E38" s="24" t="s">
        <v>35</v>
      </c>
      <c r="F38" s="24"/>
      <c r="G38" s="25">
        <v>0.41</v>
      </c>
      <c r="H38" s="26">
        <f>+G38*$I$5</f>
        <v>1007.3699999999999</v>
      </c>
      <c r="I38" s="27"/>
      <c r="J38" s="28">
        <f>+(H38)/$I$3</f>
        <v>9.6890449168029233E-2</v>
      </c>
      <c r="K38" s="28"/>
      <c r="L38" s="28"/>
      <c r="M38" s="387"/>
      <c r="N38" s="388"/>
      <c r="O38" s="30"/>
      <c r="P38" s="31">
        <f>+SUM(O39:O45)</f>
        <v>1143.6999999999998</v>
      </c>
      <c r="Q38" s="22"/>
      <c r="R38" s="22"/>
      <c r="S38" s="8"/>
      <c r="T38" s="8"/>
      <c r="U38" s="376"/>
      <c r="W38"/>
    </row>
    <row r="39" spans="2:24" x14ac:dyDescent="0.2">
      <c r="B39">
        <f t="shared" si="0"/>
        <v>30</v>
      </c>
      <c r="D39" s="23"/>
      <c r="E39" s="24"/>
      <c r="F39" s="35" t="s">
        <v>36</v>
      </c>
      <c r="G39" s="25"/>
      <c r="H39" s="26"/>
      <c r="I39" s="27"/>
      <c r="J39" s="28"/>
      <c r="K39" s="28"/>
      <c r="L39" s="28"/>
      <c r="M39" s="387"/>
      <c r="N39" s="388"/>
      <c r="O39" s="30">
        <f>+T39*V39</f>
        <v>168.29999999999998</v>
      </c>
      <c r="P39" s="31"/>
      <c r="Q39" s="22"/>
      <c r="R39" s="22"/>
      <c r="S39" s="8"/>
      <c r="T39" s="8">
        <v>33</v>
      </c>
      <c r="U39" s="378" t="s">
        <v>37</v>
      </c>
      <c r="V39">
        <v>5.0999999999999996</v>
      </c>
      <c r="W39"/>
    </row>
    <row r="40" spans="2:24" x14ac:dyDescent="0.2">
      <c r="B40">
        <f t="shared" si="0"/>
        <v>31</v>
      </c>
      <c r="D40" s="23"/>
      <c r="E40" s="24"/>
      <c r="F40" s="24" t="s">
        <v>38</v>
      </c>
      <c r="G40" s="25"/>
      <c r="H40" s="26"/>
      <c r="I40" s="27"/>
      <c r="J40" s="28"/>
      <c r="K40" s="28"/>
      <c r="L40" s="28"/>
      <c r="M40" s="387"/>
      <c r="N40" s="388"/>
      <c r="O40" s="30">
        <f>+T40*V40</f>
        <v>199.10000000000002</v>
      </c>
      <c r="P40" s="31"/>
      <c r="Q40" s="22"/>
      <c r="R40" s="22"/>
      <c r="S40" s="33">
        <f>+T40*1000/365</f>
        <v>99.178082191780817</v>
      </c>
      <c r="T40" s="8">
        <v>36.200000000000003</v>
      </c>
      <c r="U40" s="378" t="s">
        <v>39</v>
      </c>
      <c r="V40">
        <v>5.5</v>
      </c>
      <c r="W40"/>
      <c r="X40">
        <f>+V40*T40</f>
        <v>199.10000000000002</v>
      </c>
    </row>
    <row r="41" spans="2:24" x14ac:dyDescent="0.2">
      <c r="B41">
        <f t="shared" si="0"/>
        <v>32</v>
      </c>
      <c r="D41" s="23"/>
      <c r="E41" s="24"/>
      <c r="F41" s="24" t="s">
        <v>40</v>
      </c>
      <c r="G41" s="25"/>
      <c r="H41" s="26"/>
      <c r="I41" s="27"/>
      <c r="J41" s="28"/>
      <c r="K41" s="28"/>
      <c r="L41" s="28"/>
      <c r="M41" s="387"/>
      <c r="N41" s="388"/>
      <c r="O41" s="30">
        <f>+T41*V41</f>
        <v>109.2</v>
      </c>
      <c r="P41" s="31"/>
      <c r="Q41" s="22"/>
      <c r="R41" s="22"/>
      <c r="S41" s="33">
        <f>+T41*1000/365</f>
        <v>74.794520547945211</v>
      </c>
      <c r="T41" s="8">
        <v>27.3</v>
      </c>
      <c r="U41" s="378" t="s">
        <v>19</v>
      </c>
      <c r="V41">
        <v>4</v>
      </c>
      <c r="W41"/>
      <c r="X41">
        <f>+V41*T41</f>
        <v>109.2</v>
      </c>
    </row>
    <row r="42" spans="2:24" x14ac:dyDescent="0.2">
      <c r="B42">
        <f t="shared" si="0"/>
        <v>33</v>
      </c>
      <c r="D42" s="23"/>
      <c r="E42" s="24"/>
      <c r="F42" s="24" t="s">
        <v>41</v>
      </c>
      <c r="G42" s="25"/>
      <c r="H42" s="26"/>
      <c r="I42" s="27"/>
      <c r="J42" s="28"/>
      <c r="K42" s="28"/>
      <c r="L42" s="28"/>
      <c r="M42" s="387"/>
      <c r="N42" s="388"/>
      <c r="O42" s="30">
        <f>+T42*V42</f>
        <v>505</v>
      </c>
      <c r="P42" s="31"/>
      <c r="Q42" s="22"/>
      <c r="R42" s="22"/>
      <c r="S42" s="33">
        <f>+T42*1000/365</f>
        <v>55.342465753424655</v>
      </c>
      <c r="T42" s="8">
        <v>20.2</v>
      </c>
      <c r="U42" s="376"/>
      <c r="V42">
        <v>25</v>
      </c>
      <c r="W42"/>
      <c r="X42">
        <f>+V42*T42</f>
        <v>505</v>
      </c>
    </row>
    <row r="43" spans="2:24" x14ac:dyDescent="0.2">
      <c r="B43">
        <f t="shared" si="0"/>
        <v>34</v>
      </c>
      <c r="D43" s="23"/>
      <c r="E43" s="24"/>
      <c r="F43" s="35" t="s">
        <v>42</v>
      </c>
      <c r="G43" s="25"/>
      <c r="H43" s="26"/>
      <c r="I43" s="27"/>
      <c r="J43" s="28"/>
      <c r="K43" s="28"/>
      <c r="L43" s="28"/>
      <c r="M43" s="387"/>
      <c r="N43" s="388"/>
      <c r="O43" s="30">
        <f>+T43*V43</f>
        <v>56</v>
      </c>
      <c r="P43" s="31"/>
      <c r="Q43" s="22"/>
      <c r="R43" s="22"/>
      <c r="S43" s="33"/>
      <c r="T43" s="8">
        <v>3.5</v>
      </c>
      <c r="U43" s="376"/>
      <c r="V43">
        <v>16</v>
      </c>
      <c r="W43"/>
    </row>
    <row r="44" spans="2:24" x14ac:dyDescent="0.2">
      <c r="B44">
        <f t="shared" si="0"/>
        <v>35</v>
      </c>
      <c r="D44" s="23"/>
      <c r="E44" s="24"/>
      <c r="F44" s="35" t="s">
        <v>43</v>
      </c>
      <c r="G44" s="25"/>
      <c r="H44" s="26"/>
      <c r="I44" s="27"/>
      <c r="J44" s="28"/>
      <c r="K44" s="28"/>
      <c r="L44" s="28"/>
      <c r="M44" s="387"/>
      <c r="N44" s="388"/>
      <c r="O44" s="30">
        <f>+T44*V44</f>
        <v>89.100000000000009</v>
      </c>
      <c r="P44" s="31"/>
      <c r="Q44" s="22"/>
      <c r="R44" s="22"/>
      <c r="S44" s="33"/>
      <c r="T44" s="8">
        <v>2.7</v>
      </c>
      <c r="U44" s="376"/>
      <c r="V44">
        <v>33</v>
      </c>
      <c r="W44"/>
    </row>
    <row r="45" spans="2:24" x14ac:dyDescent="0.2">
      <c r="B45">
        <f t="shared" si="0"/>
        <v>36</v>
      </c>
      <c r="D45" s="23"/>
      <c r="E45" s="24"/>
      <c r="F45" s="24" t="s">
        <v>44</v>
      </c>
      <c r="G45" s="25"/>
      <c r="H45" s="26"/>
      <c r="I45" s="27"/>
      <c r="J45" s="28"/>
      <c r="K45" s="28"/>
      <c r="L45" s="28"/>
      <c r="M45" s="387"/>
      <c r="N45" s="388"/>
      <c r="O45" s="30">
        <f>+T45*V45</f>
        <v>17</v>
      </c>
      <c r="P45" s="31"/>
      <c r="Q45" s="22"/>
      <c r="R45" s="22"/>
      <c r="S45" s="33">
        <f>+T45*1000/365</f>
        <v>9.3150684931506849</v>
      </c>
      <c r="T45" s="8">
        <v>3.4</v>
      </c>
      <c r="U45" s="376"/>
      <c r="V45">
        <v>5</v>
      </c>
      <c r="W45"/>
      <c r="X45">
        <f>+V45*T45</f>
        <v>17</v>
      </c>
    </row>
    <row r="46" spans="2:24" ht="13.5" thickBot="1" x14ac:dyDescent="0.25">
      <c r="B46">
        <f t="shared" si="0"/>
        <v>37</v>
      </c>
      <c r="D46" s="36"/>
      <c r="E46" s="37"/>
      <c r="F46" s="37"/>
      <c r="G46" s="38"/>
      <c r="H46" s="39"/>
      <c r="I46" s="40"/>
      <c r="J46" s="41"/>
      <c r="K46" s="41"/>
      <c r="L46" s="41"/>
      <c r="M46" s="389"/>
      <c r="N46" s="390"/>
      <c r="O46" s="43"/>
      <c r="P46" s="44"/>
      <c r="Q46" s="22"/>
      <c r="R46" s="22"/>
      <c r="S46" s="8"/>
      <c r="T46" s="8"/>
      <c r="U46" s="376"/>
      <c r="W46"/>
    </row>
    <row r="47" spans="2:24" ht="14.25" thickTop="1" thickBot="1" x14ac:dyDescent="0.25">
      <c r="B47">
        <f t="shared" si="0"/>
        <v>38</v>
      </c>
      <c r="D47" s="13" t="s">
        <v>45</v>
      </c>
      <c r="E47" s="14"/>
      <c r="F47" s="14"/>
      <c r="G47" s="14"/>
      <c r="H47" s="15"/>
      <c r="I47" s="45">
        <v>2393</v>
      </c>
      <c r="J47" s="17"/>
      <c r="K47" s="17">
        <f>+(I47)/$I$3</f>
        <v>0.23016254688852553</v>
      </c>
      <c r="L47" s="17"/>
      <c r="M47" s="404" t="s">
        <v>46</v>
      </c>
      <c r="N47" s="403"/>
      <c r="O47" s="18"/>
      <c r="P47" s="46"/>
      <c r="Q47" s="20">
        <f>+SUM(O48:O50)</f>
        <v>763.36699999999996</v>
      </c>
      <c r="R47" s="21">
        <f>+Q47/$Q$4</f>
        <v>6.3130268362998745E-2</v>
      </c>
      <c r="S47" s="421" t="s">
        <v>196</v>
      </c>
      <c r="T47" s="422"/>
      <c r="U47" s="376"/>
      <c r="W47"/>
    </row>
    <row r="48" spans="2:24" ht="13.5" thickTop="1" x14ac:dyDescent="0.2">
      <c r="B48">
        <f t="shared" si="0"/>
        <v>39</v>
      </c>
      <c r="D48" s="23"/>
      <c r="E48" s="29"/>
      <c r="F48" s="29"/>
      <c r="G48" s="29"/>
      <c r="H48" s="26"/>
      <c r="I48" s="27"/>
      <c r="J48" s="28"/>
      <c r="K48" s="28"/>
      <c r="L48" s="28"/>
      <c r="M48" s="400" t="s">
        <v>199</v>
      </c>
      <c r="N48" s="391">
        <v>786</v>
      </c>
      <c r="O48" s="30"/>
      <c r="P48" s="31"/>
      <c r="Q48" s="22"/>
      <c r="R48" s="22"/>
      <c r="S48" s="382" t="s">
        <v>205</v>
      </c>
      <c r="T48" s="8"/>
      <c r="U48" s="376"/>
      <c r="W48"/>
    </row>
    <row r="49" spans="2:23" x14ac:dyDescent="0.2">
      <c r="B49">
        <f t="shared" si="0"/>
        <v>40</v>
      </c>
      <c r="D49" s="23"/>
      <c r="E49" s="24" t="s">
        <v>47</v>
      </c>
      <c r="F49" s="24"/>
      <c r="G49" s="25">
        <v>0.28999999999999998</v>
      </c>
      <c r="H49" s="26">
        <f>+G49*$I$47</f>
        <v>693.96999999999991</v>
      </c>
      <c r="I49" s="27"/>
      <c r="J49" s="28">
        <f>+(H49)/$I$3</f>
        <v>6.6747138597672395E-2</v>
      </c>
      <c r="K49" s="28"/>
      <c r="L49" s="28"/>
      <c r="M49" s="387"/>
      <c r="N49" s="396"/>
      <c r="O49" s="47">
        <f>+H49*S49</f>
        <v>763.36699999999996</v>
      </c>
      <c r="P49" s="31"/>
      <c r="Q49" s="22"/>
      <c r="R49" s="22"/>
      <c r="S49" s="48">
        <v>1.1000000000000001</v>
      </c>
      <c r="T49" s="8"/>
      <c r="U49" s="376"/>
      <c r="W49"/>
    </row>
    <row r="50" spans="2:23" ht="13.5" thickBot="1" x14ac:dyDescent="0.25">
      <c r="B50">
        <f t="shared" si="0"/>
        <v>41</v>
      </c>
      <c r="D50" s="23"/>
      <c r="E50" s="24"/>
      <c r="F50" s="24"/>
      <c r="G50" s="25"/>
      <c r="H50" s="26"/>
      <c r="I50" s="27"/>
      <c r="J50" s="28"/>
      <c r="K50" s="28"/>
      <c r="L50" s="28"/>
      <c r="M50" s="387"/>
      <c r="N50" s="388"/>
      <c r="O50" s="30"/>
      <c r="P50" s="31"/>
      <c r="Q50" s="22"/>
      <c r="R50" s="22"/>
      <c r="S50" s="8"/>
      <c r="T50" s="8"/>
      <c r="U50" s="376"/>
      <c r="W50"/>
    </row>
    <row r="51" spans="2:23" ht="14.25" thickTop="1" thickBot="1" x14ac:dyDescent="0.25">
      <c r="B51">
        <f t="shared" si="0"/>
        <v>42</v>
      </c>
      <c r="D51" s="23"/>
      <c r="E51" s="24"/>
      <c r="F51" s="24"/>
      <c r="G51" s="25"/>
      <c r="H51" s="26"/>
      <c r="I51" s="27"/>
      <c r="J51" s="28"/>
      <c r="K51" s="28"/>
      <c r="L51" s="28"/>
      <c r="M51" s="404" t="s">
        <v>48</v>
      </c>
      <c r="N51" s="405"/>
      <c r="O51" s="398" t="s">
        <v>115</v>
      </c>
      <c r="P51" s="31"/>
      <c r="Q51" s="49">
        <f>+SUM(O52:O61)</f>
        <v>1862.1816591488341</v>
      </c>
      <c r="R51" s="21">
        <f>+Q51/$Q$4</f>
        <v>0.15400197792506115</v>
      </c>
      <c r="S51" s="8"/>
      <c r="T51" s="8"/>
      <c r="U51" s="376"/>
      <c r="W51"/>
    </row>
    <row r="52" spans="2:23" ht="13.5" thickTop="1" x14ac:dyDescent="0.2">
      <c r="B52">
        <f t="shared" si="0"/>
        <v>43</v>
      </c>
      <c r="D52" s="23"/>
      <c r="E52" s="24" t="s">
        <v>49</v>
      </c>
      <c r="F52" s="24"/>
      <c r="G52" s="25">
        <v>0.27</v>
      </c>
      <c r="H52" s="26">
        <f t="shared" ref="H52:H57" si="3">+G52*$I$47</f>
        <v>646.11</v>
      </c>
      <c r="I52" s="27"/>
      <c r="J52" s="28">
        <f>+(H52)/$I$3</f>
        <v>6.2143887659901899E-2</v>
      </c>
      <c r="K52" s="26">
        <f>+H52</f>
        <v>646.11</v>
      </c>
      <c r="L52" s="26"/>
      <c r="M52" s="400" t="s">
        <v>199</v>
      </c>
      <c r="N52" s="391">
        <v>1401</v>
      </c>
      <c r="O52" s="47">
        <f>+K52*S52</f>
        <v>1033.7760000000001</v>
      </c>
      <c r="P52" s="31">
        <f>+O52+O59</f>
        <v>1179.732059148834</v>
      </c>
      <c r="Q52" s="22"/>
      <c r="R52" s="50">
        <f>+O52/$Q$4</f>
        <v>8.5493028002556301E-2</v>
      </c>
      <c r="S52" s="48">
        <v>1.6</v>
      </c>
      <c r="T52" s="8"/>
      <c r="U52" s="376"/>
      <c r="W52" s="179">
        <f>1.2*1.33</f>
        <v>1.5960000000000001</v>
      </c>
    </row>
    <row r="53" spans="2:23" x14ac:dyDescent="0.2">
      <c r="B53">
        <f t="shared" si="0"/>
        <v>44</v>
      </c>
      <c r="D53" s="23" t="s">
        <v>50</v>
      </c>
      <c r="E53" s="24" t="s">
        <v>51</v>
      </c>
      <c r="F53" s="24"/>
      <c r="G53" s="25">
        <v>0.16</v>
      </c>
      <c r="H53" s="26">
        <f t="shared" si="3"/>
        <v>382.88</v>
      </c>
      <c r="I53" s="27"/>
      <c r="J53" s="28">
        <f>+(H53)/$I$3</f>
        <v>3.6826007502164082E-2</v>
      </c>
      <c r="K53" s="425" t="s">
        <v>201</v>
      </c>
      <c r="L53" s="26"/>
      <c r="M53" s="387"/>
      <c r="N53" s="388"/>
      <c r="O53" s="30"/>
      <c r="P53" s="31"/>
      <c r="Q53" s="22"/>
      <c r="R53" s="22"/>
      <c r="S53" s="25"/>
      <c r="T53" s="8"/>
      <c r="U53" s="376"/>
      <c r="W53"/>
    </row>
    <row r="54" spans="2:23" x14ac:dyDescent="0.2">
      <c r="B54">
        <f t="shared" si="0"/>
        <v>45</v>
      </c>
      <c r="D54" s="23" t="s">
        <v>50</v>
      </c>
      <c r="E54" s="24" t="s">
        <v>52</v>
      </c>
      <c r="F54" s="24"/>
      <c r="G54" s="25">
        <v>0.06</v>
      </c>
      <c r="H54" s="26">
        <f t="shared" si="3"/>
        <v>143.57999999999998</v>
      </c>
      <c r="I54" s="27"/>
      <c r="J54" s="28">
        <f>+(H54)/$I$3</f>
        <v>1.3809752813311531E-2</v>
      </c>
      <c r="K54" s="26">
        <f>+H54</f>
        <v>143.57999999999998</v>
      </c>
      <c r="L54" s="26"/>
      <c r="M54" s="387"/>
      <c r="N54" s="396"/>
      <c r="O54" s="47">
        <f>+S54*H54</f>
        <v>150.75899999999999</v>
      </c>
      <c r="P54" s="31">
        <f>+O54+O58</f>
        <v>682.44960000000003</v>
      </c>
      <c r="Q54" s="22"/>
      <c r="R54" s="22"/>
      <c r="S54" s="48">
        <v>1.05</v>
      </c>
      <c r="T54" s="8"/>
      <c r="U54" s="376"/>
      <c r="W54"/>
    </row>
    <row r="55" spans="2:23" x14ac:dyDescent="0.2">
      <c r="B55">
        <f t="shared" si="0"/>
        <v>46</v>
      </c>
      <c r="D55" s="23" t="s">
        <v>53</v>
      </c>
      <c r="E55" s="24" t="s">
        <v>54</v>
      </c>
      <c r="F55" s="24"/>
      <c r="G55" s="25">
        <v>0.05</v>
      </c>
      <c r="H55" s="26">
        <f t="shared" si="3"/>
        <v>119.65</v>
      </c>
      <c r="I55" s="27"/>
      <c r="J55" s="28">
        <f>+(H55)/$I$3</f>
        <v>1.1508127344426277E-2</v>
      </c>
      <c r="K55" s="425" t="s">
        <v>201</v>
      </c>
      <c r="L55" s="28"/>
      <c r="M55" s="387"/>
      <c r="N55" s="388"/>
      <c r="O55" s="30"/>
      <c r="P55" s="31"/>
      <c r="Q55" s="22"/>
      <c r="R55" s="22"/>
      <c r="S55" s="27"/>
      <c r="T55" s="8"/>
      <c r="U55" s="376"/>
      <c r="W55"/>
    </row>
    <row r="56" spans="2:23" x14ac:dyDescent="0.2">
      <c r="B56">
        <f t="shared" si="0"/>
        <v>47</v>
      </c>
      <c r="D56" s="23" t="s">
        <v>53</v>
      </c>
      <c r="E56" s="24" t="s">
        <v>55</v>
      </c>
      <c r="F56" s="24"/>
      <c r="G56" s="25">
        <v>0.04</v>
      </c>
      <c r="H56" s="26">
        <f t="shared" si="3"/>
        <v>95.72</v>
      </c>
      <c r="I56" s="27"/>
      <c r="J56" s="28">
        <f>+(H56)/$I$3</f>
        <v>9.2065018755410205E-3</v>
      </c>
      <c r="K56" s="425" t="s">
        <v>201</v>
      </c>
      <c r="L56" s="28"/>
      <c r="M56" s="387"/>
      <c r="N56" s="388"/>
      <c r="O56" s="30"/>
      <c r="P56" s="31"/>
      <c r="Q56" s="22"/>
      <c r="R56" s="22"/>
      <c r="S56" s="27"/>
      <c r="T56" s="8"/>
      <c r="U56" s="376"/>
      <c r="W56"/>
    </row>
    <row r="57" spans="2:23" x14ac:dyDescent="0.2">
      <c r="B57">
        <f t="shared" si="0"/>
        <v>48</v>
      </c>
      <c r="D57" s="23"/>
      <c r="E57" s="24" t="s">
        <v>56</v>
      </c>
      <c r="F57" s="24"/>
      <c r="G57" s="25">
        <v>0.02</v>
      </c>
      <c r="H57" s="26">
        <f t="shared" si="3"/>
        <v>47.86</v>
      </c>
      <c r="I57" s="27"/>
      <c r="J57" s="28">
        <f>+(H57)/$I$3</f>
        <v>4.6032509377705103E-3</v>
      </c>
      <c r="K57" s="425" t="s">
        <v>201</v>
      </c>
      <c r="L57" s="26"/>
      <c r="M57" s="387"/>
      <c r="N57" s="396"/>
      <c r="O57" s="47"/>
      <c r="P57" s="31"/>
      <c r="Q57" s="22"/>
      <c r="R57" s="22"/>
      <c r="S57" s="48">
        <v>1.0649999999999999</v>
      </c>
      <c r="T57" s="8"/>
      <c r="U57" s="376"/>
      <c r="W57"/>
    </row>
    <row r="58" spans="2:23" x14ac:dyDescent="0.2">
      <c r="B58">
        <f t="shared" si="0"/>
        <v>49</v>
      </c>
      <c r="D58" s="23"/>
      <c r="E58" s="24" t="s">
        <v>57</v>
      </c>
      <c r="F58" s="24"/>
      <c r="G58" s="25">
        <v>0.28000000000000003</v>
      </c>
      <c r="H58" s="26">
        <f>+G58*$I$72</f>
        <v>499.24000000000007</v>
      </c>
      <c r="I58" s="27"/>
      <c r="J58" s="28">
        <f>+(H58)/$I$3</f>
        <v>4.8017697412715214E-2</v>
      </c>
      <c r="K58" s="26">
        <f>+H58</f>
        <v>499.24000000000007</v>
      </c>
      <c r="L58" s="26"/>
      <c r="M58" s="387"/>
      <c r="N58" s="396"/>
      <c r="O58" s="47">
        <f>+S58*H58</f>
        <v>531.69060000000002</v>
      </c>
      <c r="P58" s="31"/>
      <c r="Q58" s="22"/>
      <c r="R58" s="22"/>
      <c r="S58" s="48">
        <v>1.0649999999999999</v>
      </c>
      <c r="T58" s="8"/>
      <c r="U58" s="376"/>
      <c r="W58"/>
    </row>
    <row r="59" spans="2:23" x14ac:dyDescent="0.2">
      <c r="B59">
        <f t="shared" si="0"/>
        <v>50</v>
      </c>
      <c r="D59" s="23"/>
      <c r="E59" s="187" t="s">
        <v>150</v>
      </c>
      <c r="F59" s="24"/>
      <c r="G59" s="25"/>
      <c r="H59" s="26"/>
      <c r="I59" s="27"/>
      <c r="J59" s="28"/>
      <c r="K59" s="26"/>
      <c r="L59" s="26"/>
      <c r="M59" s="392"/>
      <c r="N59" s="396"/>
      <c r="O59" s="47">
        <f>+H131</f>
        <v>145.95605914883384</v>
      </c>
      <c r="P59" s="31"/>
      <c r="Q59" s="22"/>
      <c r="R59" s="22"/>
      <c r="S59" s="8"/>
      <c r="T59" s="8"/>
      <c r="U59" s="376"/>
      <c r="W59"/>
    </row>
    <row r="60" spans="2:23" x14ac:dyDescent="0.2">
      <c r="B60">
        <f t="shared" si="0"/>
        <v>51</v>
      </c>
      <c r="D60" s="23"/>
      <c r="E60" s="24" t="s">
        <v>58</v>
      </c>
      <c r="F60" s="24"/>
      <c r="G60" s="25">
        <v>0.11</v>
      </c>
      <c r="H60" s="26">
        <f>+G60*$I$47</f>
        <v>263.23</v>
      </c>
      <c r="I60" s="27"/>
      <c r="J60" s="28">
        <f>+(H60)/$I$3</f>
        <v>2.531788015773781E-2</v>
      </c>
      <c r="K60" s="425" t="s">
        <v>201</v>
      </c>
      <c r="L60" s="28"/>
      <c r="M60" s="393"/>
      <c r="N60" s="388"/>
      <c r="O60" s="30"/>
      <c r="P60" s="31"/>
      <c r="Q60" s="22"/>
      <c r="R60" s="22"/>
      <c r="S60" s="8"/>
      <c r="T60" s="8"/>
      <c r="U60" s="376"/>
      <c r="W60"/>
    </row>
    <row r="61" spans="2:23" ht="13.5" thickBot="1" x14ac:dyDescent="0.25">
      <c r="B61">
        <f t="shared" si="0"/>
        <v>52</v>
      </c>
      <c r="D61" s="36"/>
      <c r="E61" s="37"/>
      <c r="F61" s="37"/>
      <c r="G61" s="38"/>
      <c r="H61" s="39"/>
      <c r="I61" s="40"/>
      <c r="J61" s="41"/>
      <c r="K61" s="41"/>
      <c r="L61" s="41"/>
      <c r="M61" s="394"/>
      <c r="N61" s="390"/>
      <c r="O61" s="43"/>
      <c r="P61" s="44"/>
      <c r="Q61" s="22"/>
      <c r="R61" s="22"/>
      <c r="S61" s="8"/>
      <c r="T61" s="8"/>
      <c r="U61" s="376"/>
      <c r="W61"/>
    </row>
    <row r="62" spans="2:23" ht="14.25" thickTop="1" thickBot="1" x14ac:dyDescent="0.25">
      <c r="B62">
        <f t="shared" si="0"/>
        <v>53</v>
      </c>
      <c r="D62" s="13" t="s">
        <v>59</v>
      </c>
      <c r="E62" s="14"/>
      <c r="F62" s="14"/>
      <c r="G62" s="14"/>
      <c r="H62" s="15"/>
      <c r="I62" s="45">
        <v>1838</v>
      </c>
      <c r="J62" s="17"/>
      <c r="K62" s="17">
        <f>+(I62)/$I$3</f>
        <v>0.17678176397037607</v>
      </c>
      <c r="L62" s="17"/>
      <c r="M62" s="402" t="s">
        <v>60</v>
      </c>
      <c r="N62" s="403"/>
      <c r="O62" s="18"/>
      <c r="P62" s="46"/>
      <c r="Q62" s="49">
        <f>+SUM(O63:O71)</f>
        <v>2919.4772000000003</v>
      </c>
      <c r="R62" s="21">
        <f>+Q62/$Q$4</f>
        <v>0.24144006633199522</v>
      </c>
      <c r="S62" s="8"/>
      <c r="T62" s="8"/>
      <c r="U62" s="376"/>
      <c r="W62"/>
    </row>
    <row r="63" spans="2:23" ht="13.5" thickTop="1" x14ac:dyDescent="0.2">
      <c r="B63">
        <f t="shared" si="0"/>
        <v>54</v>
      </c>
      <c r="D63" s="23"/>
      <c r="E63" s="24"/>
      <c r="F63" s="24"/>
      <c r="G63" s="25"/>
      <c r="H63" s="26"/>
      <c r="I63" s="27"/>
      <c r="J63" s="28"/>
      <c r="K63" s="26"/>
      <c r="L63" s="26"/>
      <c r="M63" s="399" t="s">
        <v>199</v>
      </c>
      <c r="N63" s="401">
        <v>3030</v>
      </c>
      <c r="O63" s="47"/>
      <c r="P63" s="31">
        <f>+SUM(O64:O65)</f>
        <v>1972.3312000000003</v>
      </c>
      <c r="Q63" s="22"/>
      <c r="R63" s="22"/>
      <c r="S63" s="8"/>
      <c r="T63" s="8"/>
      <c r="U63" s="376"/>
      <c r="W63"/>
    </row>
    <row r="64" spans="2:23" x14ac:dyDescent="0.2">
      <c r="B64">
        <f t="shared" si="0"/>
        <v>55</v>
      </c>
      <c r="D64" s="23"/>
      <c r="E64" s="24" t="s">
        <v>58</v>
      </c>
      <c r="F64" s="29"/>
      <c r="G64" s="25">
        <v>0.11</v>
      </c>
      <c r="H64" s="26">
        <f>+G64*$I$47</f>
        <v>263.23</v>
      </c>
      <c r="I64" s="27"/>
      <c r="J64" s="28">
        <f>+(H64)/$I$3</f>
        <v>2.531788015773781E-2</v>
      </c>
      <c r="K64" s="123"/>
      <c r="L64" s="123"/>
      <c r="M64" s="387"/>
      <c r="N64" s="396">
        <v>400</v>
      </c>
      <c r="O64" s="47">
        <f>+N64*S64</f>
        <v>424</v>
      </c>
      <c r="P64" s="31"/>
      <c r="Q64" s="22"/>
      <c r="R64" s="22"/>
      <c r="S64" s="48">
        <v>1.06</v>
      </c>
      <c r="T64" s="8"/>
      <c r="U64" s="376"/>
      <c r="V64" s="179" t="s">
        <v>195</v>
      </c>
      <c r="W64"/>
    </row>
    <row r="65" spans="2:23" x14ac:dyDescent="0.2">
      <c r="B65">
        <f t="shared" si="0"/>
        <v>56</v>
      </c>
      <c r="D65" s="23"/>
      <c r="E65" s="24" t="s">
        <v>98</v>
      </c>
      <c r="F65" s="24"/>
      <c r="G65" s="25">
        <v>0.78</v>
      </c>
      <c r="H65" s="26">
        <f>+G65*$I$62</f>
        <v>1433.64</v>
      </c>
      <c r="I65" s="27"/>
      <c r="J65" s="28">
        <f>+(H65)/$I$3</f>
        <v>0.13788977589689336</v>
      </c>
      <c r="K65" s="28"/>
      <c r="L65" s="28"/>
      <c r="M65" s="387"/>
      <c r="N65" s="396">
        <v>1800</v>
      </c>
      <c r="O65" s="47">
        <f>+S65*H65</f>
        <v>1548.3312000000003</v>
      </c>
      <c r="P65" s="31"/>
      <c r="Q65" s="22"/>
      <c r="R65" s="22"/>
      <c r="S65" s="48">
        <v>1.08</v>
      </c>
      <c r="T65" s="8"/>
      <c r="U65" s="376"/>
      <c r="W65"/>
    </row>
    <row r="66" spans="2:23" x14ac:dyDescent="0.2">
      <c r="B66">
        <f t="shared" si="0"/>
        <v>57</v>
      </c>
      <c r="D66" s="23"/>
      <c r="E66" s="24" t="s">
        <v>62</v>
      </c>
      <c r="F66" s="24"/>
      <c r="G66" s="25">
        <v>0.18</v>
      </c>
      <c r="H66" s="26">
        <f>+G66*$I$62</f>
        <v>330.84</v>
      </c>
      <c r="I66" s="27"/>
      <c r="J66" s="28">
        <f>+(H66)/$I$3</f>
        <v>3.1820717514667689E-2</v>
      </c>
      <c r="K66" s="28">
        <f>1.05^8</f>
        <v>1.4774554437890626</v>
      </c>
      <c r="L66" s="28"/>
      <c r="M66" s="387"/>
      <c r="N66" s="396"/>
      <c r="O66" s="47">
        <f>+S66*H66</f>
        <v>479.71799999999996</v>
      </c>
      <c r="P66" s="31"/>
      <c r="Q66" s="22"/>
      <c r="R66" s="50">
        <f>+O66/$Q$4</f>
        <v>3.9672563889401866E-2</v>
      </c>
      <c r="S66" s="48">
        <v>1.45</v>
      </c>
      <c r="T66" s="8"/>
      <c r="U66" s="376"/>
      <c r="W66"/>
    </row>
    <row r="67" spans="2:23" x14ac:dyDescent="0.2">
      <c r="B67">
        <f t="shared" si="0"/>
        <v>58</v>
      </c>
      <c r="D67" s="23"/>
      <c r="E67" s="24" t="s">
        <v>6</v>
      </c>
      <c r="F67" s="24"/>
      <c r="G67" s="25">
        <v>0.04</v>
      </c>
      <c r="H67" s="26">
        <f>+G67*$I$62</f>
        <v>73.52</v>
      </c>
      <c r="I67" s="27"/>
      <c r="J67" s="28">
        <f>+(H67)/$I$3</f>
        <v>7.0712705588150421E-3</v>
      </c>
      <c r="K67" s="28"/>
      <c r="L67" s="28"/>
      <c r="M67" s="387"/>
      <c r="N67" s="396"/>
      <c r="O67" s="47">
        <f>+S67*H67</f>
        <v>84.547999999999988</v>
      </c>
      <c r="P67" s="31"/>
      <c r="Q67" s="22"/>
      <c r="R67" s="22"/>
      <c r="S67" s="48">
        <v>1.1499999999999999</v>
      </c>
      <c r="T67" s="8"/>
      <c r="U67" s="376"/>
      <c r="W67"/>
    </row>
    <row r="68" spans="2:23" x14ac:dyDescent="0.2">
      <c r="B68">
        <f t="shared" si="0"/>
        <v>59</v>
      </c>
      <c r="D68" s="23"/>
      <c r="E68" s="24"/>
      <c r="F68" s="24"/>
      <c r="G68" s="25"/>
      <c r="H68" s="26"/>
      <c r="I68" s="27"/>
      <c r="J68" s="28"/>
      <c r="K68" s="28"/>
      <c r="L68" s="28"/>
      <c r="M68" s="387"/>
      <c r="N68" s="396"/>
      <c r="O68" s="47"/>
      <c r="P68" s="31"/>
      <c r="Q68" s="22"/>
      <c r="R68" s="22"/>
      <c r="S68" s="48"/>
      <c r="T68" s="8"/>
      <c r="U68" s="376"/>
      <c r="W68"/>
    </row>
    <row r="69" spans="2:23" x14ac:dyDescent="0.2">
      <c r="B69">
        <f t="shared" si="0"/>
        <v>60</v>
      </c>
      <c r="D69" s="23"/>
      <c r="E69" s="24" t="s">
        <v>51</v>
      </c>
      <c r="F69" s="24"/>
      <c r="G69" s="25">
        <v>0.16</v>
      </c>
      <c r="H69" s="26">
        <f>+G69*$I$47</f>
        <v>382.88</v>
      </c>
      <c r="I69" s="27"/>
      <c r="J69" s="28">
        <f>+(H69)/$I$3</f>
        <v>3.6826007502164082E-2</v>
      </c>
      <c r="K69" s="26"/>
      <c r="L69" s="26"/>
      <c r="M69" s="387"/>
      <c r="N69" s="396">
        <v>500</v>
      </c>
      <c r="O69" s="47">
        <f>+H69</f>
        <v>382.88</v>
      </c>
      <c r="P69" s="31"/>
      <c r="Q69" s="22"/>
      <c r="R69" s="22"/>
      <c r="S69" s="48">
        <v>1.05</v>
      </c>
      <c r="T69" s="8"/>
      <c r="U69" s="376"/>
      <c r="W69"/>
    </row>
    <row r="70" spans="2:23" x14ac:dyDescent="0.2">
      <c r="B70">
        <f t="shared" si="0"/>
        <v>61</v>
      </c>
      <c r="D70" s="23"/>
      <c r="E70" s="24"/>
      <c r="F70" s="24"/>
      <c r="G70" s="25"/>
      <c r="H70" s="26"/>
      <c r="I70" s="27"/>
      <c r="J70" s="28"/>
      <c r="K70" s="26"/>
      <c r="L70" s="26"/>
      <c r="M70" s="392"/>
      <c r="N70" s="396"/>
      <c r="O70" s="30"/>
      <c r="P70" s="31"/>
      <c r="Q70" s="22"/>
      <c r="R70" s="22"/>
      <c r="S70" s="8"/>
      <c r="T70" s="8"/>
      <c r="U70" s="376"/>
      <c r="W70"/>
    </row>
    <row r="71" spans="2:23" ht="13.5" thickBot="1" x14ac:dyDescent="0.25">
      <c r="B71">
        <f t="shared" si="0"/>
        <v>62</v>
      </c>
      <c r="D71" s="36"/>
      <c r="E71" s="37"/>
      <c r="F71" s="37"/>
      <c r="G71" s="38"/>
      <c r="H71" s="39"/>
      <c r="I71" s="40"/>
      <c r="J71" s="41"/>
      <c r="K71" s="41"/>
      <c r="L71" s="41"/>
      <c r="M71" s="394"/>
      <c r="N71" s="390"/>
      <c r="O71" s="43"/>
      <c r="P71" s="44"/>
      <c r="Q71" s="22"/>
      <c r="R71" s="22"/>
      <c r="S71" s="8"/>
      <c r="T71" s="8"/>
      <c r="U71" s="376"/>
      <c r="W71"/>
    </row>
    <row r="72" spans="2:23" ht="14.25" thickTop="1" thickBot="1" x14ac:dyDescent="0.25">
      <c r="B72">
        <f t="shared" si="0"/>
        <v>63</v>
      </c>
      <c r="D72" s="13" t="s">
        <v>63</v>
      </c>
      <c r="E72" s="14"/>
      <c r="F72" s="14"/>
      <c r="G72" s="14"/>
      <c r="H72" s="15"/>
      <c r="I72" s="45">
        <v>1783</v>
      </c>
      <c r="J72" s="17">
        <f>+(H72)/$I$3</f>
        <v>0</v>
      </c>
      <c r="K72" s="17">
        <f>+(I72)/$I$3</f>
        <v>0.17149177647398289</v>
      </c>
      <c r="L72" s="17"/>
      <c r="M72" s="402" t="s">
        <v>64</v>
      </c>
      <c r="N72" s="403"/>
      <c r="O72" s="18"/>
      <c r="P72" s="46"/>
      <c r="Q72" s="20">
        <f>+SUM(O73:O75)</f>
        <v>1489.1615999999999</v>
      </c>
      <c r="R72" s="21">
        <f>+Q72/$Q$4</f>
        <v>0.12315330823034346</v>
      </c>
      <c r="S72" s="8"/>
      <c r="T72" s="8"/>
      <c r="U72" s="376"/>
      <c r="W72"/>
    </row>
    <row r="73" spans="2:23" ht="13.5" thickTop="1" x14ac:dyDescent="0.2">
      <c r="B73">
        <f t="shared" si="0"/>
        <v>64</v>
      </c>
      <c r="D73" s="23"/>
      <c r="E73" s="24" t="s">
        <v>65</v>
      </c>
      <c r="F73" s="24"/>
      <c r="G73" s="25">
        <v>0.72</v>
      </c>
      <c r="H73" s="26">
        <f>+G73*$I$72</f>
        <v>1283.76</v>
      </c>
      <c r="I73" s="27"/>
      <c r="J73" s="28">
        <f>+(H73)/$I$3</f>
        <v>0.12347407906126767</v>
      </c>
      <c r="K73" s="28"/>
      <c r="L73" s="28"/>
      <c r="M73" s="400" t="s">
        <v>199</v>
      </c>
      <c r="N73" s="401">
        <v>1037</v>
      </c>
      <c r="O73" s="30">
        <f>+H73*S73</f>
        <v>1489.1615999999999</v>
      </c>
      <c r="P73" s="31"/>
      <c r="Q73" s="22"/>
      <c r="R73" s="22"/>
      <c r="S73" s="48">
        <v>1.1599999999999999</v>
      </c>
      <c r="T73" s="8"/>
      <c r="U73" s="376"/>
      <c r="W73"/>
    </row>
    <row r="74" spans="2:23" x14ac:dyDescent="0.2">
      <c r="B74">
        <f t="shared" si="0"/>
        <v>65</v>
      </c>
      <c r="D74" s="23"/>
      <c r="E74" s="24" t="s">
        <v>57</v>
      </c>
      <c r="F74" s="24"/>
      <c r="G74" s="25">
        <v>0.28000000000000003</v>
      </c>
      <c r="H74" s="26">
        <f>+G74*$I$72</f>
        <v>499.24000000000007</v>
      </c>
      <c r="I74" s="27"/>
      <c r="J74" s="28">
        <f>+(H74)/$I$3</f>
        <v>4.8017697412715214E-2</v>
      </c>
      <c r="K74" s="28"/>
      <c r="L74" s="28"/>
      <c r="M74" s="392"/>
      <c r="N74" s="396"/>
      <c r="O74" s="47"/>
      <c r="P74" s="31"/>
      <c r="Q74" s="22"/>
      <c r="R74" s="22"/>
      <c r="S74" s="8"/>
      <c r="T74" s="8"/>
      <c r="U74" s="376"/>
      <c r="W74"/>
    </row>
    <row r="75" spans="2:23" ht="13.5" thickBot="1" x14ac:dyDescent="0.25">
      <c r="B75">
        <f t="shared" ref="B75:B92" si="4">1+B74</f>
        <v>66</v>
      </c>
      <c r="D75" s="36"/>
      <c r="E75" s="37"/>
      <c r="F75" s="37"/>
      <c r="G75" s="38"/>
      <c r="H75" s="39"/>
      <c r="I75" s="40"/>
      <c r="J75" s="41"/>
      <c r="K75" s="41"/>
      <c r="L75" s="41"/>
      <c r="M75" s="394"/>
      <c r="N75" s="390"/>
      <c r="O75" s="43"/>
      <c r="P75" s="44"/>
      <c r="Q75" s="22"/>
      <c r="R75" s="22"/>
      <c r="S75" s="8"/>
      <c r="T75" s="8"/>
      <c r="U75" s="376"/>
      <c r="W75"/>
    </row>
    <row r="76" spans="2:23" ht="14.25" thickTop="1" thickBot="1" x14ac:dyDescent="0.25">
      <c r="B76">
        <f t="shared" si="4"/>
        <v>67</v>
      </c>
      <c r="D76" s="13"/>
      <c r="E76" s="51"/>
      <c r="F76" s="51"/>
      <c r="G76" s="52"/>
      <c r="H76" s="15"/>
      <c r="I76" s="53">
        <f>+SUM(H78:H92)</f>
        <v>2189.2300000000005</v>
      </c>
      <c r="J76" s="17"/>
      <c r="K76" s="17"/>
      <c r="L76" s="17"/>
      <c r="M76" s="402" t="s">
        <v>67</v>
      </c>
      <c r="N76" s="403"/>
      <c r="O76" s="18"/>
      <c r="P76" s="46"/>
      <c r="Q76" s="20">
        <f>+SUM(O77:O93)</f>
        <v>2705.1339318300129</v>
      </c>
      <c r="R76" s="21">
        <f>+Q76/$Q$4</f>
        <v>0.22371392930829165</v>
      </c>
      <c r="S76" s="8"/>
      <c r="T76" s="8"/>
      <c r="U76" s="376"/>
      <c r="W76"/>
    </row>
    <row r="77" spans="2:23" ht="13.5" thickTop="1" x14ac:dyDescent="0.2">
      <c r="B77">
        <f t="shared" si="4"/>
        <v>68</v>
      </c>
      <c r="D77" s="23" t="s">
        <v>68</v>
      </c>
      <c r="E77" s="29"/>
      <c r="F77" s="29"/>
      <c r="G77" s="29"/>
      <c r="H77" s="26"/>
      <c r="I77" s="27">
        <v>1556</v>
      </c>
      <c r="J77" s="28"/>
      <c r="K77" s="28">
        <f>+(I77)/$I$3</f>
        <v>0.14965855535250552</v>
      </c>
      <c r="L77" s="28"/>
      <c r="M77" s="399" t="s">
        <v>199</v>
      </c>
      <c r="N77" s="401">
        <v>3061</v>
      </c>
      <c r="O77" s="54"/>
      <c r="P77" s="31"/>
      <c r="Q77" s="22"/>
      <c r="R77" s="22"/>
      <c r="S77" s="55"/>
      <c r="T77" s="8"/>
      <c r="U77" s="376"/>
      <c r="W77"/>
    </row>
    <row r="78" spans="2:23" x14ac:dyDescent="0.2">
      <c r="B78">
        <f t="shared" si="4"/>
        <v>69</v>
      </c>
      <c r="D78" s="23"/>
      <c r="E78" s="24" t="s">
        <v>69</v>
      </c>
      <c r="F78" s="24"/>
      <c r="G78" s="25">
        <v>0.42</v>
      </c>
      <c r="H78" s="26">
        <f>+G78*$I$77</f>
        <v>653.52</v>
      </c>
      <c r="I78" s="27"/>
      <c r="J78" s="28">
        <f>+(H78)/$I$3</f>
        <v>6.2856593248052317E-2</v>
      </c>
      <c r="K78" s="56">
        <f>900+300+600</f>
        <v>1800</v>
      </c>
      <c r="L78" s="56"/>
      <c r="M78" s="387"/>
      <c r="N78" s="396">
        <f>900+300+600</f>
        <v>1800</v>
      </c>
      <c r="O78" s="186">
        <f>+H78*S78</f>
        <v>653.52</v>
      </c>
      <c r="P78" s="31"/>
      <c r="Q78" s="22"/>
      <c r="R78" s="22"/>
      <c r="S78" s="48">
        <v>1</v>
      </c>
      <c r="T78" s="8"/>
      <c r="U78" s="376"/>
      <c r="W78"/>
    </row>
    <row r="79" spans="2:23" x14ac:dyDescent="0.2">
      <c r="B79">
        <f t="shared" si="4"/>
        <v>70</v>
      </c>
      <c r="D79" s="23"/>
      <c r="E79" s="24" t="s">
        <v>70</v>
      </c>
      <c r="F79" s="24"/>
      <c r="G79" s="25">
        <v>0.32</v>
      </c>
      <c r="H79" s="26">
        <f>+G79*$I$77</f>
        <v>497.92</v>
      </c>
      <c r="I79" s="27"/>
      <c r="J79" s="28">
        <f>+(H79)/$I$3</f>
        <v>4.7890737712801772E-2</v>
      </c>
      <c r="K79" s="28"/>
      <c r="L79" s="28"/>
      <c r="M79" s="387"/>
      <c r="N79" s="396"/>
      <c r="O79" s="186">
        <f>+H79*S79</f>
        <v>497.92</v>
      </c>
      <c r="P79" s="31"/>
      <c r="Q79" s="22"/>
      <c r="R79" s="22"/>
      <c r="S79" s="48">
        <v>1</v>
      </c>
      <c r="T79" s="8"/>
      <c r="U79" s="376"/>
      <c r="W79"/>
    </row>
    <row r="80" spans="2:23" x14ac:dyDescent="0.2">
      <c r="B80">
        <f t="shared" si="4"/>
        <v>71</v>
      </c>
      <c r="D80" s="23"/>
      <c r="E80" s="24" t="s">
        <v>71</v>
      </c>
      <c r="F80" s="24"/>
      <c r="G80" s="25">
        <v>0.11</v>
      </c>
      <c r="H80" s="26">
        <f>+G80*$I$77</f>
        <v>171.16</v>
      </c>
      <c r="I80" s="27"/>
      <c r="J80" s="28">
        <f>+(H80)/$I$3</f>
        <v>1.646244108877561E-2</v>
      </c>
      <c r="K80" s="28"/>
      <c r="L80" s="28"/>
      <c r="M80" s="387"/>
      <c r="N80" s="396"/>
      <c r="O80" s="186">
        <f>+H80*S80</f>
        <v>171.16</v>
      </c>
      <c r="P80" s="31"/>
      <c r="Q80" s="22"/>
      <c r="R80" s="22"/>
      <c r="S80" s="48">
        <v>1</v>
      </c>
      <c r="T80" s="8"/>
      <c r="U80" s="376"/>
      <c r="W80"/>
    </row>
    <row r="81" spans="2:23" x14ac:dyDescent="0.2">
      <c r="B81">
        <f t="shared" si="4"/>
        <v>72</v>
      </c>
      <c r="D81" s="23"/>
      <c r="E81" s="24" t="s">
        <v>72</v>
      </c>
      <c r="F81" s="24"/>
      <c r="G81" s="25">
        <v>0.11</v>
      </c>
      <c r="H81" s="26">
        <f>+G81*$I$77</f>
        <v>171.16</v>
      </c>
      <c r="I81" s="27"/>
      <c r="J81" s="28">
        <f>+(H81)/$I$3</f>
        <v>1.646244108877561E-2</v>
      </c>
      <c r="K81" s="28"/>
      <c r="L81" s="28"/>
      <c r="M81" s="387"/>
      <c r="N81" s="396"/>
      <c r="O81" s="186">
        <f>+H81*S81</f>
        <v>171.16</v>
      </c>
      <c r="P81" s="31"/>
      <c r="Q81" s="22"/>
      <c r="R81" s="22"/>
      <c r="S81" s="48">
        <v>1</v>
      </c>
      <c r="T81" s="8"/>
      <c r="U81" s="376"/>
      <c r="W81"/>
    </row>
    <row r="82" spans="2:23" x14ac:dyDescent="0.2">
      <c r="B82">
        <f t="shared" si="4"/>
        <v>73</v>
      </c>
      <c r="D82" s="23"/>
      <c r="E82" s="24" t="s">
        <v>73</v>
      </c>
      <c r="F82" s="24"/>
      <c r="G82" s="25">
        <v>0.04</v>
      </c>
      <c r="H82" s="26">
        <f>+G82*$I$77</f>
        <v>62.24</v>
      </c>
      <c r="I82" s="27"/>
      <c r="J82" s="28">
        <f>+(H82)/$I$3</f>
        <v>5.9863422141002215E-3</v>
      </c>
      <c r="K82" s="28"/>
      <c r="L82" s="28"/>
      <c r="M82" s="387"/>
      <c r="N82" s="396"/>
      <c r="O82" s="186">
        <f>+H82*S82</f>
        <v>62.24</v>
      </c>
      <c r="P82" s="31"/>
      <c r="Q82" s="22"/>
      <c r="R82" s="22"/>
      <c r="S82" s="48">
        <v>1</v>
      </c>
      <c r="T82" s="8"/>
      <c r="U82" s="376"/>
      <c r="W82"/>
    </row>
    <row r="83" spans="2:23" x14ac:dyDescent="0.2">
      <c r="B83">
        <f t="shared" si="4"/>
        <v>74</v>
      </c>
      <c r="D83" s="23"/>
      <c r="E83" s="35" t="s">
        <v>74</v>
      </c>
      <c r="F83" s="24"/>
      <c r="G83" s="25"/>
      <c r="H83" s="26"/>
      <c r="I83" s="27"/>
      <c r="J83" s="28"/>
      <c r="K83" s="28"/>
      <c r="L83" s="28"/>
      <c r="M83" s="387"/>
      <c r="N83" s="396"/>
      <c r="O83" s="186">
        <v>140</v>
      </c>
      <c r="P83" s="31"/>
      <c r="Q83" s="22"/>
      <c r="R83" s="22"/>
      <c r="S83" s="48"/>
      <c r="T83" s="8"/>
      <c r="U83" s="376"/>
      <c r="W83"/>
    </row>
    <row r="84" spans="2:23" x14ac:dyDescent="0.2">
      <c r="B84">
        <f t="shared" si="4"/>
        <v>75</v>
      </c>
      <c r="D84" s="23" t="s">
        <v>75</v>
      </c>
      <c r="E84" s="29"/>
      <c r="F84" s="29"/>
      <c r="G84" s="29"/>
      <c r="H84" s="26"/>
      <c r="I84" s="27">
        <v>370</v>
      </c>
      <c r="J84" s="28"/>
      <c r="K84" s="28">
        <f>+(I84)/$I$3</f>
        <v>3.5587188612099648E-2</v>
      </c>
      <c r="L84" s="28"/>
      <c r="M84" s="387"/>
      <c r="N84" s="396"/>
      <c r="O84" s="30"/>
      <c r="P84" s="31"/>
      <c r="Q84" s="22"/>
      <c r="R84" s="22"/>
      <c r="S84" s="48"/>
      <c r="T84" s="8"/>
      <c r="U84" s="376"/>
      <c r="W84"/>
    </row>
    <row r="85" spans="2:23" x14ac:dyDescent="0.2">
      <c r="B85">
        <f t="shared" si="4"/>
        <v>76</v>
      </c>
      <c r="D85" s="23"/>
      <c r="E85" s="24" t="s">
        <v>76</v>
      </c>
      <c r="F85" s="24"/>
      <c r="G85" s="25">
        <v>0.9</v>
      </c>
      <c r="H85" s="26">
        <f>+G85*$I$84</f>
        <v>333</v>
      </c>
      <c r="I85" s="27"/>
      <c r="J85" s="28">
        <f>+(H85)/$I$3</f>
        <v>3.2028469750889681E-2</v>
      </c>
      <c r="K85" s="57">
        <f>+H113</f>
        <v>492.1788194444444</v>
      </c>
      <c r="L85" s="225"/>
      <c r="M85" s="387"/>
      <c r="N85" s="388">
        <v>1100</v>
      </c>
      <c r="O85" s="47">
        <f>+K85</f>
        <v>492.1788194444444</v>
      </c>
      <c r="P85" s="31"/>
      <c r="Q85" s="22"/>
      <c r="R85" s="50">
        <f>+O85/$Q$4</f>
        <v>4.0703070677815104E-2</v>
      </c>
      <c r="S85" s="25"/>
      <c r="T85" s="8"/>
      <c r="U85" s="376"/>
      <c r="W85"/>
    </row>
    <row r="86" spans="2:23" x14ac:dyDescent="0.2">
      <c r="B86">
        <f t="shared" si="4"/>
        <v>77</v>
      </c>
      <c r="D86" s="23"/>
      <c r="E86" s="24" t="s">
        <v>77</v>
      </c>
      <c r="F86" s="24"/>
      <c r="G86" s="25">
        <v>0.1</v>
      </c>
      <c r="H86" s="26">
        <f>+G86*$I$84</f>
        <v>37</v>
      </c>
      <c r="I86" s="27"/>
      <c r="J86" s="28">
        <f>+(H86)/$I$3</f>
        <v>3.5587188612099642E-3</v>
      </c>
      <c r="K86" s="28"/>
      <c r="L86" s="28"/>
      <c r="M86" s="387"/>
      <c r="N86" s="388"/>
      <c r="O86" s="47">
        <f>+H104</f>
        <v>133.59375</v>
      </c>
      <c r="P86" s="31"/>
      <c r="Q86" s="22"/>
      <c r="R86" s="22"/>
      <c r="S86" s="25"/>
      <c r="T86" s="8"/>
      <c r="U86" s="376"/>
      <c r="W86"/>
    </row>
    <row r="87" spans="2:23" s="138" customFormat="1" x14ac:dyDescent="0.2">
      <c r="C87" s="1"/>
      <c r="D87" s="23"/>
      <c r="E87" s="187" t="s">
        <v>138</v>
      </c>
      <c r="F87" s="24"/>
      <c r="G87" s="25"/>
      <c r="H87" s="26"/>
      <c r="I87" s="27"/>
      <c r="J87" s="28"/>
      <c r="K87" s="28"/>
      <c r="L87" s="28"/>
      <c r="M87" s="395"/>
      <c r="N87" s="388"/>
      <c r="O87" s="47">
        <f>+H106</f>
        <v>48.828125</v>
      </c>
      <c r="P87" s="31"/>
      <c r="Q87" s="22"/>
      <c r="R87" s="22"/>
      <c r="S87" s="25"/>
      <c r="T87" s="8"/>
      <c r="U87" s="376"/>
    </row>
    <row r="88" spans="2:23" x14ac:dyDescent="0.2">
      <c r="B88">
        <f>1+B86</f>
        <v>78</v>
      </c>
      <c r="D88" s="23" t="s">
        <v>78</v>
      </c>
      <c r="E88" s="29"/>
      <c r="F88" s="29"/>
      <c r="G88" s="29"/>
      <c r="H88" s="26"/>
      <c r="I88" s="27"/>
      <c r="J88" s="28"/>
      <c r="K88" s="28"/>
      <c r="L88" s="28"/>
      <c r="M88" s="387"/>
      <c r="N88" s="388"/>
      <c r="O88" s="30"/>
      <c r="P88" s="31"/>
      <c r="Q88" s="22"/>
      <c r="R88" s="22"/>
      <c r="S88" s="25"/>
      <c r="T88" s="8"/>
      <c r="U88" s="376"/>
      <c r="W88"/>
    </row>
    <row r="89" spans="2:23" x14ac:dyDescent="0.2">
      <c r="B89">
        <f t="shared" si="4"/>
        <v>79</v>
      </c>
      <c r="D89" s="23"/>
      <c r="E89" s="24"/>
      <c r="F89" s="24"/>
      <c r="G89" s="25"/>
      <c r="H89" s="26"/>
      <c r="I89" s="27"/>
      <c r="J89" s="28">
        <f>+(H89)/$I$3</f>
        <v>0</v>
      </c>
      <c r="K89" s="28"/>
      <c r="L89" s="28"/>
      <c r="M89" s="387"/>
      <c r="N89" s="388"/>
      <c r="O89" s="30"/>
      <c r="P89" s="31"/>
      <c r="Q89" s="22"/>
      <c r="R89" s="22"/>
      <c r="S89" s="25"/>
      <c r="T89" s="8"/>
      <c r="U89" s="376"/>
      <c r="W89"/>
    </row>
    <row r="90" spans="2:23" x14ac:dyDescent="0.2">
      <c r="B90">
        <f t="shared" si="4"/>
        <v>80</v>
      </c>
      <c r="D90" s="23"/>
      <c r="E90" s="24" t="s">
        <v>54</v>
      </c>
      <c r="F90" s="24"/>
      <c r="G90" s="25">
        <v>0.05</v>
      </c>
      <c r="H90" s="26">
        <f>+G90*$I$47</f>
        <v>119.65</v>
      </c>
      <c r="I90" s="27"/>
      <c r="J90" s="28">
        <f>+(H90)/$I$3</f>
        <v>1.1508127344426277E-2</v>
      </c>
      <c r="K90" s="28"/>
      <c r="L90" s="28"/>
      <c r="M90" s="387"/>
      <c r="N90" s="396"/>
      <c r="O90" s="186">
        <f>+H90*S90</f>
        <v>157.45123738556831</v>
      </c>
      <c r="P90" s="31"/>
      <c r="Q90" s="22"/>
      <c r="R90" s="22"/>
      <c r="S90" s="48">
        <f>1.04^7</f>
        <v>1.3159317792358403</v>
      </c>
      <c r="T90" s="8"/>
      <c r="U90" s="376"/>
      <c r="W90"/>
    </row>
    <row r="91" spans="2:23" x14ac:dyDescent="0.2">
      <c r="B91">
        <f t="shared" si="4"/>
        <v>81</v>
      </c>
      <c r="D91" s="23"/>
      <c r="E91" s="24" t="s">
        <v>55</v>
      </c>
      <c r="F91" s="24"/>
      <c r="G91" s="25">
        <v>0.04</v>
      </c>
      <c r="H91" s="26">
        <f>+G91*$I$47</f>
        <v>95.72</v>
      </c>
      <c r="I91" s="27"/>
      <c r="J91" s="28">
        <f>+(H91)/$I$3</f>
        <v>9.2065018755410205E-3</v>
      </c>
      <c r="K91" s="28"/>
      <c r="L91" s="28"/>
      <c r="M91" s="387"/>
      <c r="N91" s="396"/>
      <c r="O91" s="186">
        <f>+H91*S91</f>
        <v>119.65</v>
      </c>
      <c r="P91" s="31"/>
      <c r="Q91" s="22"/>
      <c r="R91" s="22"/>
      <c r="S91" s="48">
        <v>1.25</v>
      </c>
      <c r="T91" s="8"/>
      <c r="U91" s="376"/>
      <c r="W91"/>
    </row>
    <row r="92" spans="2:23" x14ac:dyDescent="0.2">
      <c r="B92">
        <f t="shared" si="4"/>
        <v>82</v>
      </c>
      <c r="D92" s="23"/>
      <c r="E92" s="24" t="s">
        <v>56</v>
      </c>
      <c r="F92" s="24"/>
      <c r="G92" s="25">
        <v>0.02</v>
      </c>
      <c r="H92" s="26">
        <f>+G92*$I$47</f>
        <v>47.86</v>
      </c>
      <c r="I92" s="27"/>
      <c r="J92" s="28">
        <f>+(H92)/$I$3</f>
        <v>4.6032509377705103E-3</v>
      </c>
      <c r="K92" s="28"/>
      <c r="L92" s="28"/>
      <c r="M92" s="387"/>
      <c r="N92" s="396"/>
      <c r="O92" s="186">
        <f>+H92*S92</f>
        <v>57.431999999999995</v>
      </c>
      <c r="P92" s="31"/>
      <c r="Q92" s="22"/>
      <c r="R92" s="22"/>
      <c r="S92" s="48">
        <v>1.2</v>
      </c>
      <c r="T92" s="8"/>
      <c r="U92" s="376"/>
      <c r="W92"/>
    </row>
    <row r="93" spans="2:23" ht="13.5" thickBot="1" x14ac:dyDescent="0.25">
      <c r="D93" s="36"/>
      <c r="E93" s="42"/>
      <c r="F93" s="42"/>
      <c r="G93" s="42"/>
      <c r="H93" s="39"/>
      <c r="I93" s="40"/>
      <c r="J93" s="41"/>
      <c r="K93" s="41"/>
      <c r="L93" s="41"/>
      <c r="M93" s="389"/>
      <c r="N93" s="390"/>
      <c r="O93" s="43"/>
      <c r="P93" s="44"/>
      <c r="Q93" s="22"/>
      <c r="R93" s="22"/>
      <c r="S93" s="8"/>
      <c r="T93" s="8"/>
      <c r="U93" s="376"/>
      <c r="W93"/>
    </row>
    <row r="94" spans="2:23" ht="13.5" thickTop="1" x14ac:dyDescent="0.2"/>
    <row r="95" spans="2:23" x14ac:dyDescent="0.2">
      <c r="H95" s="367">
        <f>(31000000*600)/1</f>
        <v>18600000000</v>
      </c>
      <c r="I95" s="367"/>
      <c r="J95" s="367">
        <f>(31000000*120+22000000*180)/1</f>
        <v>7680000000</v>
      </c>
      <c r="K95" s="367"/>
    </row>
    <row r="96" spans="2:23" x14ac:dyDescent="0.2">
      <c r="H96" s="362">
        <f>+H95/12*44</f>
        <v>68200000000</v>
      </c>
      <c r="I96" s="362"/>
      <c r="J96" s="362">
        <f>+J95/12*44</f>
        <v>28160000000</v>
      </c>
      <c r="K96" s="362"/>
    </row>
    <row r="97" spans="3:23" x14ac:dyDescent="0.2">
      <c r="H97" s="362">
        <f>+H96/64000000</f>
        <v>1065.625</v>
      </c>
      <c r="I97" s="362"/>
      <c r="J97" s="362">
        <f>+J96/64000000</f>
        <v>440</v>
      </c>
      <c r="K97" s="362"/>
    </row>
    <row r="99" spans="3:23" x14ac:dyDescent="0.2">
      <c r="E99" s="2" t="s">
        <v>77</v>
      </c>
    </row>
    <row r="100" spans="3:23" x14ac:dyDescent="0.2">
      <c r="F100" s="10" t="s">
        <v>79</v>
      </c>
      <c r="H100" s="3">
        <v>204</v>
      </c>
      <c r="I100" s="58" t="s">
        <v>80</v>
      </c>
      <c r="W100" s="34" t="s">
        <v>81</v>
      </c>
    </row>
    <row r="101" spans="3:23" x14ac:dyDescent="0.2">
      <c r="F101" s="10" t="s">
        <v>82</v>
      </c>
      <c r="H101" s="3">
        <v>35</v>
      </c>
    </row>
    <row r="102" spans="3:23" x14ac:dyDescent="0.2">
      <c r="F102" s="179" t="s">
        <v>136</v>
      </c>
      <c r="H102" s="3">
        <f>+I102*K102</f>
        <v>45000000</v>
      </c>
      <c r="I102" s="372">
        <v>500000</v>
      </c>
      <c r="J102" s="372"/>
      <c r="K102">
        <v>90</v>
      </c>
      <c r="W102" s="34" t="s">
        <v>137</v>
      </c>
    </row>
    <row r="103" spans="3:23" x14ac:dyDescent="0.2">
      <c r="H103" s="3">
        <f>+H102*190</f>
        <v>8550000000</v>
      </c>
      <c r="W103" s="34" t="s">
        <v>83</v>
      </c>
    </row>
    <row r="104" spans="3:23" x14ac:dyDescent="0.2">
      <c r="F104" s="10"/>
      <c r="H104" s="3">
        <f>+H103/64000000</f>
        <v>133.59375</v>
      </c>
    </row>
    <row r="105" spans="3:23" s="138" customFormat="1" x14ac:dyDescent="0.2">
      <c r="C105" s="1"/>
      <c r="D105" s="2"/>
      <c r="F105" s="10"/>
      <c r="H105" s="3"/>
      <c r="I105" s="139"/>
      <c r="L105" s="427"/>
      <c r="M105" s="427"/>
      <c r="N105" s="139"/>
      <c r="O105" s="226"/>
      <c r="P105" s="139"/>
      <c r="W105" s="6"/>
    </row>
    <row r="106" spans="3:23" s="138" customFormat="1" x14ac:dyDescent="0.2">
      <c r="C106" s="1"/>
      <c r="D106" s="2"/>
      <c r="E106" s="2" t="s">
        <v>139</v>
      </c>
      <c r="F106" s="10"/>
      <c r="H106" s="188">
        <f>25000000000*0.5/64000000/0.8*0.2</f>
        <v>48.828125</v>
      </c>
      <c r="I106" s="180"/>
      <c r="L106" s="427"/>
      <c r="M106" s="427"/>
      <c r="N106" s="139"/>
      <c r="O106" s="226"/>
      <c r="P106" s="139"/>
      <c r="W106" s="34" t="s">
        <v>140</v>
      </c>
    </row>
    <row r="107" spans="3:23" x14ac:dyDescent="0.2">
      <c r="W107" s="34" t="s">
        <v>141</v>
      </c>
    </row>
    <row r="108" spans="3:23" x14ac:dyDescent="0.2">
      <c r="E108" s="2" t="s">
        <v>84</v>
      </c>
    </row>
    <row r="109" spans="3:23" x14ac:dyDescent="0.2">
      <c r="F109" s="10" t="s">
        <v>85</v>
      </c>
      <c r="H109" s="363">
        <v>31000000</v>
      </c>
      <c r="I109" s="363"/>
      <c r="N109" s="181" t="s">
        <v>131</v>
      </c>
      <c r="O109" s="374"/>
      <c r="P109" s="182"/>
      <c r="Q109" s="183"/>
      <c r="S109">
        <v>200</v>
      </c>
      <c r="T109" s="179" t="s">
        <v>132</v>
      </c>
    </row>
    <row r="110" spans="3:23" x14ac:dyDescent="0.2">
      <c r="F110" s="10" t="s">
        <v>86</v>
      </c>
      <c r="H110" s="362">
        <v>425</v>
      </c>
      <c r="I110" s="362"/>
      <c r="N110" s="184">
        <v>90</v>
      </c>
      <c r="O110" s="27"/>
      <c r="P110" s="368">
        <f>+H109/N110</f>
        <v>344444.44444444444</v>
      </c>
      <c r="Q110" s="369"/>
      <c r="S110">
        <v>55</v>
      </c>
      <c r="T110" s="179" t="s">
        <v>133</v>
      </c>
    </row>
    <row r="111" spans="3:23" x14ac:dyDescent="0.2">
      <c r="F111" s="10" t="s">
        <v>87</v>
      </c>
      <c r="H111" s="363">
        <f>+H109*H110</f>
        <v>13175000000</v>
      </c>
      <c r="I111" s="363"/>
      <c r="N111" s="184"/>
      <c r="O111" s="27"/>
      <c r="P111" s="368">
        <f>+P110/5</f>
        <v>68888.888888888891</v>
      </c>
      <c r="Q111" s="369"/>
      <c r="S111">
        <v>1200</v>
      </c>
      <c r="T111" s="179" t="s">
        <v>134</v>
      </c>
      <c r="W111" s="34" t="s">
        <v>135</v>
      </c>
    </row>
    <row r="112" spans="3:23" x14ac:dyDescent="0.2">
      <c r="F112" s="10" t="s">
        <v>116</v>
      </c>
      <c r="H112" s="363">
        <f>+P112</f>
        <v>18324444444.444443</v>
      </c>
      <c r="I112" s="363"/>
      <c r="N112" s="185"/>
      <c r="O112" s="375"/>
      <c r="P112" s="370">
        <f>+P111*T112*1000</f>
        <v>18324444444.444443</v>
      </c>
      <c r="Q112" s="371"/>
      <c r="S112">
        <f>+S111*S110/1000</f>
        <v>66</v>
      </c>
      <c r="T112">
        <f>+S112+S109</f>
        <v>266</v>
      </c>
    </row>
    <row r="113" spans="2:26" x14ac:dyDescent="0.2">
      <c r="F113" s="10" t="s">
        <v>88</v>
      </c>
      <c r="H113" s="362">
        <f>+(H111+H112)/64000000</f>
        <v>492.1788194444444</v>
      </c>
      <c r="I113" s="362"/>
      <c r="X113" s="10" t="s">
        <v>113</v>
      </c>
    </row>
    <row r="115" spans="2:26" x14ac:dyDescent="0.2">
      <c r="E115" s="2" t="s">
        <v>89</v>
      </c>
      <c r="H115" s="3">
        <v>2010</v>
      </c>
      <c r="I115" s="4">
        <v>2016</v>
      </c>
      <c r="J115" s="179" t="s">
        <v>204</v>
      </c>
      <c r="N115" s="59"/>
      <c r="O115" s="59"/>
    </row>
    <row r="116" spans="2:26" x14ac:dyDescent="0.2">
      <c r="F116" s="10" t="s">
        <v>90</v>
      </c>
      <c r="H116" s="60">
        <v>6000</v>
      </c>
      <c r="I116" s="4">
        <v>20000</v>
      </c>
      <c r="J116">
        <f t="shared" ref="J116:J121" si="5">+I116/64000</f>
        <v>0.3125</v>
      </c>
      <c r="K116" s="5">
        <f>+J116*X116</f>
        <v>18.75</v>
      </c>
      <c r="N116" s="59">
        <f t="shared" ref="N116:N122" si="6">+I116/H116</f>
        <v>3.3333333333333335</v>
      </c>
      <c r="O116" s="59"/>
      <c r="W116" s="34" t="s">
        <v>91</v>
      </c>
      <c r="X116">
        <v>60</v>
      </c>
    </row>
    <row r="117" spans="2:26" x14ac:dyDescent="0.2">
      <c r="F117" s="10" t="s">
        <v>92</v>
      </c>
      <c r="H117" s="3">
        <v>450</v>
      </c>
      <c r="I117" s="4">
        <v>5160</v>
      </c>
      <c r="J117">
        <f t="shared" si="5"/>
        <v>8.0625000000000002E-2</v>
      </c>
      <c r="K117" s="5">
        <f>+J117*X117</f>
        <v>12.9</v>
      </c>
      <c r="N117" s="48">
        <f t="shared" si="6"/>
        <v>11.466666666666667</v>
      </c>
      <c r="O117" s="48"/>
      <c r="W117" s="34" t="s">
        <v>93</v>
      </c>
      <c r="X117">
        <v>160</v>
      </c>
      <c r="Y117" s="224"/>
      <c r="Z117" s="224"/>
    </row>
    <row r="118" spans="2:26" x14ac:dyDescent="0.2">
      <c r="F118" s="10" t="s">
        <v>94</v>
      </c>
      <c r="H118" s="3">
        <v>3850</v>
      </c>
      <c r="I118" s="4">
        <v>3700</v>
      </c>
      <c r="J118">
        <f t="shared" si="5"/>
        <v>5.7812500000000003E-2</v>
      </c>
      <c r="K118" s="5">
        <f>+J118*X118</f>
        <v>69.375</v>
      </c>
      <c r="N118" s="59">
        <f t="shared" si="6"/>
        <v>0.96103896103896103</v>
      </c>
      <c r="O118" s="59"/>
      <c r="X118">
        <v>1200</v>
      </c>
      <c r="Y118" s="224"/>
      <c r="Z118" s="224"/>
    </row>
    <row r="119" spans="2:26" x14ac:dyDescent="0.2">
      <c r="F119" s="10" t="s">
        <v>95</v>
      </c>
      <c r="H119" s="3">
        <v>1460</v>
      </c>
      <c r="I119" s="4">
        <v>700</v>
      </c>
      <c r="J119">
        <f t="shared" si="5"/>
        <v>1.0937499999999999E-2</v>
      </c>
      <c r="K119" s="5">
        <f>+J119*X119</f>
        <v>13.78125</v>
      </c>
      <c r="N119" s="59">
        <f t="shared" si="6"/>
        <v>0.47945205479452052</v>
      </c>
      <c r="O119" s="59"/>
      <c r="X119">
        <v>1260</v>
      </c>
      <c r="Y119" s="224"/>
      <c r="Z119" s="224"/>
    </row>
    <row r="120" spans="2:26" x14ac:dyDescent="0.2">
      <c r="F120" s="10" t="s">
        <v>96</v>
      </c>
      <c r="H120" s="3">
        <v>1260</v>
      </c>
      <c r="J120">
        <f t="shared" si="5"/>
        <v>0</v>
      </c>
      <c r="K120" s="5">
        <f>+J120*X120</f>
        <v>0</v>
      </c>
      <c r="N120" s="59">
        <f t="shared" si="6"/>
        <v>0</v>
      </c>
      <c r="O120" s="59"/>
      <c r="X120">
        <v>900</v>
      </c>
      <c r="Y120" s="224"/>
      <c r="Z120" s="224"/>
    </row>
    <row r="121" spans="2:26" s="4" customFormat="1" x14ac:dyDescent="0.2">
      <c r="B121"/>
      <c r="C121" s="1"/>
      <c r="D121" s="2"/>
      <c r="E121"/>
      <c r="F121" s="10" t="s">
        <v>97</v>
      </c>
      <c r="G121"/>
      <c r="H121" s="3"/>
      <c r="I121" s="4">
        <v>750</v>
      </c>
      <c r="J121">
        <f t="shared" si="5"/>
        <v>1.171875E-2</v>
      </c>
      <c r="K121" s="5">
        <f>+J121*X121</f>
        <v>14.765625</v>
      </c>
      <c r="L121" s="427"/>
      <c r="M121" s="428"/>
      <c r="N121" s="59"/>
      <c r="O121" s="59"/>
      <c r="Q121"/>
      <c r="R121"/>
      <c r="S121"/>
      <c r="T121"/>
      <c r="U121"/>
      <c r="V121"/>
      <c r="W121" s="6"/>
      <c r="X121">
        <v>1260</v>
      </c>
      <c r="Y121" s="224"/>
      <c r="Z121" s="224"/>
    </row>
    <row r="122" spans="2:26" s="4" customFormat="1" x14ac:dyDescent="0.2">
      <c r="B122"/>
      <c r="C122" s="1"/>
      <c r="D122" s="2"/>
      <c r="E122"/>
      <c r="F122" s="179" t="s">
        <v>203</v>
      </c>
      <c r="G122"/>
      <c r="H122" s="3">
        <f>+SUM(H116:H121)</f>
        <v>13020</v>
      </c>
      <c r="I122" s="432">
        <f>+SUM(I116:I121)</f>
        <v>30310</v>
      </c>
      <c r="J122" s="432"/>
      <c r="K122" s="426">
        <f>+SUM(K116:K121)</f>
        <v>129.57187500000001</v>
      </c>
      <c r="L122" s="427"/>
      <c r="M122" s="427"/>
      <c r="N122" s="59">
        <f t="shared" si="6"/>
        <v>2.327956989247312</v>
      </c>
      <c r="O122" s="59"/>
      <c r="Q122"/>
      <c r="R122"/>
      <c r="S122"/>
      <c r="T122"/>
      <c r="U122"/>
      <c r="V122"/>
      <c r="W122" s="6"/>
      <c r="X122"/>
      <c r="Y122"/>
      <c r="Z122" s="224"/>
    </row>
    <row r="123" spans="2:26" s="4" customFormat="1" x14ac:dyDescent="0.2">
      <c r="B123"/>
      <c r="C123" s="1"/>
      <c r="D123" s="2"/>
      <c r="E123"/>
      <c r="F123"/>
      <c r="G123"/>
      <c r="H123" s="431"/>
      <c r="J123"/>
      <c r="K123"/>
      <c r="L123" s="427"/>
      <c r="M123" s="427"/>
      <c r="N123" s="59"/>
      <c r="O123" s="59"/>
      <c r="Q123"/>
      <c r="R123"/>
      <c r="S123"/>
      <c r="T123"/>
      <c r="U123"/>
      <c r="V123"/>
      <c r="W123" s="6"/>
      <c r="X123"/>
      <c r="Y123"/>
      <c r="Z123"/>
    </row>
    <row r="124" spans="2:26" s="4" customFormat="1" x14ac:dyDescent="0.2">
      <c r="B124"/>
      <c r="C124" s="1"/>
      <c r="D124" s="2"/>
      <c r="E124" s="2" t="s">
        <v>66</v>
      </c>
      <c r="F124"/>
      <c r="G124"/>
      <c r="H124" s="3"/>
      <c r="J124"/>
      <c r="K124"/>
      <c r="L124" s="427"/>
      <c r="M124" s="427"/>
      <c r="N124" s="59"/>
      <c r="O124" s="59"/>
      <c r="Q124"/>
      <c r="R124"/>
      <c r="S124"/>
      <c r="T124"/>
      <c r="U124"/>
      <c r="V124"/>
      <c r="W124" s="6"/>
      <c r="X124"/>
      <c r="Y124"/>
      <c r="Z124"/>
    </row>
    <row r="125" spans="2:26" s="4" customFormat="1" x14ac:dyDescent="0.2">
      <c r="B125"/>
      <c r="C125" s="1"/>
      <c r="D125" s="2"/>
      <c r="E125"/>
      <c r="F125" s="179" t="s">
        <v>142</v>
      </c>
      <c r="G125"/>
      <c r="H125" s="430">
        <v>1.85</v>
      </c>
      <c r="I125" s="180" t="s">
        <v>143</v>
      </c>
      <c r="J125"/>
      <c r="K125"/>
      <c r="L125" s="427"/>
      <c r="M125" s="427"/>
      <c r="N125" s="59"/>
      <c r="O125" s="59"/>
      <c r="Q125"/>
      <c r="R125"/>
      <c r="S125"/>
      <c r="T125"/>
      <c r="U125"/>
      <c r="V125"/>
      <c r="W125" s="34" t="s">
        <v>148</v>
      </c>
      <c r="X125"/>
      <c r="Y125"/>
      <c r="Z125"/>
    </row>
    <row r="126" spans="2:26" s="139" customFormat="1" x14ac:dyDescent="0.2">
      <c r="B126" s="138"/>
      <c r="C126" s="1"/>
      <c r="D126" s="2"/>
      <c r="E126" s="138"/>
      <c r="F126" s="179"/>
      <c r="G126" s="138"/>
      <c r="H126" s="3">
        <f>+H125*10^12</f>
        <v>1850000000000</v>
      </c>
      <c r="I126" s="180" t="s">
        <v>146</v>
      </c>
      <c r="J126" s="138">
        <f>+H126/7500000000</f>
        <v>246.66666666666666</v>
      </c>
      <c r="K126" s="138"/>
      <c r="L126" s="427"/>
      <c r="M126" s="427"/>
      <c r="N126" s="59"/>
      <c r="O126" s="59"/>
      <c r="Q126" s="138"/>
      <c r="R126" s="138"/>
      <c r="S126" s="138"/>
      <c r="T126" s="138"/>
      <c r="U126" s="138"/>
      <c r="V126" s="138"/>
      <c r="W126" s="6"/>
      <c r="X126" s="138"/>
      <c r="Y126" s="138"/>
      <c r="Z126" s="138"/>
    </row>
    <row r="127" spans="2:26" s="4" customFormat="1" x14ac:dyDescent="0.2">
      <c r="B127"/>
      <c r="C127" s="1"/>
      <c r="D127" s="2"/>
      <c r="E127"/>
      <c r="F127" s="179" t="s">
        <v>202</v>
      </c>
      <c r="G127"/>
      <c r="H127" s="3">
        <v>4159</v>
      </c>
      <c r="I127" s="180" t="s">
        <v>144</v>
      </c>
      <c r="J127"/>
      <c r="K127"/>
      <c r="L127" s="427"/>
      <c r="M127" s="427"/>
      <c r="N127" s="59"/>
      <c r="O127" s="59"/>
      <c r="Q127"/>
      <c r="R127"/>
      <c r="S127"/>
      <c r="T127"/>
      <c r="U127"/>
      <c r="V127"/>
      <c r="W127" s="34" t="s">
        <v>149</v>
      </c>
      <c r="X127"/>
      <c r="Y127"/>
      <c r="Z127"/>
    </row>
    <row r="128" spans="2:26" s="4" customFormat="1" x14ac:dyDescent="0.2">
      <c r="B128"/>
      <c r="C128" s="1"/>
      <c r="D128" s="2"/>
      <c r="E128"/>
      <c r="F128" s="179" t="s">
        <v>145</v>
      </c>
      <c r="G128"/>
      <c r="H128" s="3">
        <v>60</v>
      </c>
      <c r="J128">
        <f>+H128/H127</f>
        <v>1.4426544842510219E-2</v>
      </c>
      <c r="K128"/>
      <c r="L128" s="427"/>
      <c r="M128" s="427"/>
      <c r="N128" s="59"/>
      <c r="O128" s="59"/>
      <c r="Q128"/>
      <c r="R128"/>
      <c r="S128"/>
      <c r="T128"/>
      <c r="U128"/>
      <c r="V128"/>
      <c r="W128" s="34" t="s">
        <v>149</v>
      </c>
      <c r="X128"/>
      <c r="Y128"/>
      <c r="Z128"/>
    </row>
    <row r="129" spans="2:26" s="4" customFormat="1" x14ac:dyDescent="0.2">
      <c r="B129"/>
      <c r="C129" s="1"/>
      <c r="D129" s="2"/>
      <c r="E129"/>
      <c r="F129"/>
      <c r="G129"/>
      <c r="H129" s="3">
        <f>+H126/H127*H128</f>
        <v>26689107958.643906</v>
      </c>
      <c r="I129" s="180" t="s">
        <v>146</v>
      </c>
      <c r="J129"/>
      <c r="K129"/>
      <c r="L129" s="427"/>
      <c r="M129" s="427"/>
      <c r="N129" s="59"/>
      <c r="O129" s="59"/>
      <c r="Q129"/>
      <c r="R129"/>
      <c r="S129"/>
      <c r="T129"/>
      <c r="U129"/>
      <c r="V129"/>
      <c r="W129" s="6"/>
      <c r="X129"/>
      <c r="Y129"/>
      <c r="Z129"/>
    </row>
    <row r="130" spans="2:26" s="4" customFormat="1" x14ac:dyDescent="0.2">
      <c r="B130"/>
      <c r="C130" s="1"/>
      <c r="D130" s="2"/>
      <c r="E130"/>
      <c r="F130" s="179" t="s">
        <v>147</v>
      </c>
      <c r="G130"/>
      <c r="H130" s="3">
        <f>+H129/(64*10^6)</f>
        <v>417.01731185381101</v>
      </c>
      <c r="J130"/>
      <c r="K130"/>
      <c r="L130" s="427"/>
      <c r="M130" s="427"/>
      <c r="N130" s="59"/>
      <c r="O130" s="59"/>
      <c r="Q130"/>
      <c r="R130"/>
      <c r="S130"/>
      <c r="T130"/>
      <c r="U130"/>
      <c r="V130"/>
      <c r="W130" s="6"/>
      <c r="X130"/>
      <c r="Y130"/>
      <c r="Z130"/>
    </row>
    <row r="131" spans="2:26" s="4" customFormat="1" x14ac:dyDescent="0.2">
      <c r="B131"/>
      <c r="C131" s="1"/>
      <c r="D131" s="2"/>
      <c r="E131"/>
      <c r="F131" s="179" t="s">
        <v>206</v>
      </c>
      <c r="G131"/>
      <c r="H131" s="429">
        <f>+H130*(0.19+0.16)</f>
        <v>145.95605914883384</v>
      </c>
      <c r="J131"/>
      <c r="K131"/>
      <c r="L131" s="427"/>
      <c r="M131" s="427"/>
      <c r="N131" s="59"/>
      <c r="O131" s="59"/>
      <c r="Q131"/>
      <c r="R131"/>
      <c r="S131"/>
      <c r="T131"/>
      <c r="U131"/>
      <c r="V131"/>
      <c r="W131" s="6"/>
      <c r="X131"/>
      <c r="Y131"/>
      <c r="Z131"/>
    </row>
    <row r="132" spans="2:26" s="4" customFormat="1" x14ac:dyDescent="0.2">
      <c r="B132"/>
      <c r="C132" s="1"/>
      <c r="D132" s="2"/>
      <c r="E132"/>
      <c r="F132"/>
      <c r="G132"/>
      <c r="H132" s="3"/>
      <c r="J132"/>
      <c r="K132"/>
      <c r="L132" s="427"/>
      <c r="M132" s="427"/>
      <c r="N132" s="59"/>
      <c r="O132" s="59"/>
      <c r="Q132"/>
      <c r="R132"/>
      <c r="S132"/>
      <c r="T132"/>
      <c r="U132"/>
      <c r="V132"/>
      <c r="W132" s="6"/>
      <c r="X132"/>
      <c r="Y132"/>
      <c r="Z132"/>
    </row>
    <row r="133" spans="2:26" s="4" customFormat="1" x14ac:dyDescent="0.2">
      <c r="B133"/>
      <c r="C133" s="1"/>
      <c r="D133" s="2"/>
      <c r="E133"/>
      <c r="F133"/>
      <c r="G133"/>
      <c r="H133" s="188"/>
      <c r="J133"/>
      <c r="K133"/>
      <c r="L133" s="427"/>
      <c r="M133" s="427"/>
      <c r="N133" s="59"/>
      <c r="O133" s="59"/>
      <c r="Q133"/>
      <c r="R133"/>
      <c r="S133"/>
      <c r="T133"/>
      <c r="U133"/>
      <c r="V133"/>
      <c r="W133" s="6"/>
      <c r="X133"/>
      <c r="Y133"/>
      <c r="Z133"/>
    </row>
    <row r="134" spans="2:26" s="4" customFormat="1" x14ac:dyDescent="0.2">
      <c r="B134"/>
      <c r="C134" s="1"/>
      <c r="D134" s="2"/>
      <c r="E134"/>
      <c r="F134"/>
      <c r="G134"/>
      <c r="H134" s="3"/>
      <c r="J134"/>
      <c r="K134"/>
      <c r="L134" s="427"/>
      <c r="M134" s="427"/>
      <c r="N134" s="59"/>
      <c r="O134" s="59"/>
      <c r="Q134"/>
      <c r="R134"/>
      <c r="S134"/>
      <c r="T134"/>
      <c r="U134"/>
      <c r="V134"/>
      <c r="W134" s="6"/>
      <c r="X134"/>
      <c r="Y134"/>
      <c r="Z134"/>
    </row>
    <row r="135" spans="2:26" s="4" customFormat="1" x14ac:dyDescent="0.2">
      <c r="B135"/>
      <c r="C135" s="1"/>
      <c r="D135" s="2"/>
      <c r="E135"/>
      <c r="F135"/>
      <c r="G135"/>
      <c r="H135" s="3"/>
      <c r="J135"/>
      <c r="K135"/>
      <c r="L135" s="427"/>
      <c r="M135" s="427"/>
      <c r="N135" s="59"/>
      <c r="O135" s="59"/>
      <c r="Q135"/>
      <c r="R135"/>
      <c r="S135"/>
      <c r="T135"/>
      <c r="U135"/>
      <c r="V135"/>
      <c r="W135" s="6"/>
      <c r="X135"/>
      <c r="Y135"/>
      <c r="Z135"/>
    </row>
    <row r="136" spans="2:26" s="4" customFormat="1" x14ac:dyDescent="0.2">
      <c r="B136"/>
      <c r="C136" s="1"/>
      <c r="D136" s="2"/>
      <c r="E136"/>
      <c r="F136"/>
      <c r="G136"/>
      <c r="H136" s="3"/>
      <c r="J136"/>
      <c r="K136"/>
      <c r="L136" s="427"/>
      <c r="M136" s="427"/>
      <c r="N136" s="59"/>
      <c r="O136" s="59"/>
      <c r="Q136"/>
      <c r="R136"/>
      <c r="S136"/>
      <c r="T136"/>
      <c r="U136"/>
      <c r="V136"/>
      <c r="W136" s="6"/>
      <c r="X136"/>
      <c r="Y136"/>
      <c r="Z136"/>
    </row>
    <row r="137" spans="2:26" s="4" customFormat="1" x14ac:dyDescent="0.2">
      <c r="B137"/>
      <c r="C137" s="1"/>
      <c r="D137" s="2"/>
      <c r="E137"/>
      <c r="F137"/>
      <c r="G137"/>
      <c r="H137" s="3"/>
      <c r="J137"/>
      <c r="K137"/>
      <c r="L137" s="427"/>
      <c r="M137" s="427"/>
      <c r="N137" s="59"/>
      <c r="O137" s="59"/>
      <c r="Q137"/>
      <c r="R137"/>
      <c r="S137"/>
      <c r="T137"/>
      <c r="U137"/>
      <c r="V137"/>
      <c r="W137" s="6"/>
      <c r="X137"/>
      <c r="Y137"/>
      <c r="Z137"/>
    </row>
    <row r="138" spans="2:26" s="4" customFormat="1" x14ac:dyDescent="0.2">
      <c r="B138"/>
      <c r="C138" s="1"/>
      <c r="D138" s="2"/>
      <c r="E138"/>
      <c r="F138"/>
      <c r="G138"/>
      <c r="H138" s="3"/>
      <c r="J138"/>
      <c r="K138"/>
      <c r="L138" s="427"/>
      <c r="M138" s="427"/>
      <c r="N138" s="59"/>
      <c r="O138" s="59"/>
      <c r="Q138"/>
      <c r="R138"/>
      <c r="S138"/>
      <c r="T138"/>
      <c r="U138"/>
      <c r="V138"/>
      <c r="W138" s="6"/>
      <c r="X138"/>
      <c r="Y138"/>
      <c r="Z138"/>
    </row>
    <row r="139" spans="2:26" s="4" customFormat="1" x14ac:dyDescent="0.2">
      <c r="B139"/>
      <c r="C139" s="1"/>
      <c r="D139" s="2"/>
      <c r="E139"/>
      <c r="F139"/>
      <c r="G139"/>
      <c r="H139" s="3"/>
      <c r="J139"/>
      <c r="K139"/>
      <c r="L139" s="427"/>
      <c r="M139" s="427"/>
      <c r="N139" s="59"/>
      <c r="O139" s="59"/>
      <c r="Q139"/>
      <c r="R139"/>
      <c r="S139"/>
      <c r="T139"/>
      <c r="U139"/>
      <c r="V139"/>
      <c r="W139" s="6"/>
      <c r="X139"/>
      <c r="Y139"/>
      <c r="Z139"/>
    </row>
    <row r="140" spans="2:26" s="4" customFormat="1" x14ac:dyDescent="0.2">
      <c r="B140"/>
      <c r="C140" s="1"/>
      <c r="D140" s="2"/>
      <c r="E140"/>
      <c r="F140"/>
      <c r="G140"/>
      <c r="H140" s="3"/>
      <c r="J140"/>
      <c r="K140"/>
      <c r="L140" s="427"/>
      <c r="M140" s="427"/>
      <c r="N140" s="59"/>
      <c r="O140" s="59"/>
      <c r="Q140"/>
      <c r="R140"/>
      <c r="S140"/>
      <c r="T140"/>
      <c r="U140"/>
      <c r="V140"/>
      <c r="W140" s="6"/>
      <c r="X140"/>
      <c r="Y140"/>
      <c r="Z140"/>
    </row>
    <row r="141" spans="2:26" s="4" customFormat="1" x14ac:dyDescent="0.2">
      <c r="B141"/>
      <c r="C141" s="1"/>
      <c r="D141" s="2"/>
      <c r="E141"/>
      <c r="F141"/>
      <c r="G141"/>
      <c r="H141" s="3"/>
      <c r="J141"/>
      <c r="K141"/>
      <c r="L141" s="427"/>
      <c r="M141" s="427"/>
      <c r="N141" s="59"/>
      <c r="O141" s="59"/>
      <c r="Q141"/>
      <c r="R141"/>
      <c r="S141"/>
      <c r="T141"/>
      <c r="U141"/>
      <c r="V141"/>
      <c r="W141" s="6"/>
      <c r="X141"/>
      <c r="Y141"/>
      <c r="Z141"/>
    </row>
    <row r="142" spans="2:26" s="4" customFormat="1" x14ac:dyDescent="0.2">
      <c r="B142"/>
      <c r="C142" s="1"/>
      <c r="D142" s="2"/>
      <c r="E142"/>
      <c r="F142"/>
      <c r="G142"/>
      <c r="H142" s="3"/>
      <c r="J142"/>
      <c r="K142"/>
      <c r="L142" s="427"/>
      <c r="M142" s="427"/>
      <c r="N142" s="59"/>
      <c r="O142" s="59"/>
      <c r="Q142"/>
      <c r="R142"/>
      <c r="S142"/>
      <c r="T142"/>
      <c r="U142"/>
      <c r="V142"/>
      <c r="W142" s="6"/>
      <c r="X142"/>
      <c r="Y142"/>
      <c r="Z142"/>
    </row>
    <row r="143" spans="2:26" s="4" customFormat="1" x14ac:dyDescent="0.2">
      <c r="B143"/>
      <c r="C143" s="1"/>
      <c r="D143" s="2"/>
      <c r="E143"/>
      <c r="F143"/>
      <c r="G143"/>
      <c r="H143" s="3"/>
      <c r="J143"/>
      <c r="K143"/>
      <c r="L143" s="427"/>
      <c r="M143" s="427"/>
      <c r="N143" s="59"/>
      <c r="O143" s="59"/>
      <c r="Q143"/>
      <c r="R143"/>
      <c r="S143"/>
      <c r="T143"/>
      <c r="U143"/>
      <c r="V143"/>
      <c r="W143" s="6"/>
      <c r="X143"/>
      <c r="Y143"/>
      <c r="Z143"/>
    </row>
    <row r="144" spans="2:26" s="4" customFormat="1" x14ac:dyDescent="0.2">
      <c r="B144"/>
      <c r="C144" s="1"/>
      <c r="D144" s="2"/>
      <c r="E144"/>
      <c r="F144"/>
      <c r="G144"/>
      <c r="H144" s="3"/>
      <c r="J144"/>
      <c r="K144"/>
      <c r="L144" s="427"/>
      <c r="M144" s="427"/>
      <c r="N144" s="59"/>
      <c r="O144" s="59"/>
      <c r="Q144"/>
      <c r="R144"/>
      <c r="S144"/>
      <c r="T144"/>
      <c r="U144"/>
      <c r="V144"/>
      <c r="W144" s="6"/>
      <c r="X144"/>
      <c r="Y144"/>
      <c r="Z144"/>
    </row>
    <row r="145" spans="2:26" s="4" customFormat="1" x14ac:dyDescent="0.2">
      <c r="B145"/>
      <c r="C145" s="1"/>
      <c r="D145" s="2"/>
      <c r="E145"/>
      <c r="F145"/>
      <c r="G145"/>
      <c r="H145" s="3"/>
      <c r="J145"/>
      <c r="K145"/>
      <c r="L145" s="427"/>
      <c r="M145" s="427"/>
      <c r="N145" s="59"/>
      <c r="O145" s="59"/>
      <c r="Q145"/>
      <c r="R145"/>
      <c r="S145"/>
      <c r="T145"/>
      <c r="U145"/>
      <c r="V145"/>
      <c r="W145" s="6"/>
      <c r="X145"/>
      <c r="Y145"/>
      <c r="Z145"/>
    </row>
    <row r="146" spans="2:26" s="4" customFormat="1" x14ac:dyDescent="0.2">
      <c r="B146"/>
      <c r="C146" s="1"/>
      <c r="D146" s="2"/>
      <c r="E146"/>
      <c r="F146"/>
      <c r="G146"/>
      <c r="H146" s="3"/>
      <c r="J146"/>
      <c r="K146"/>
      <c r="L146" s="427"/>
      <c r="M146" s="427"/>
      <c r="N146" s="59"/>
      <c r="O146" s="59"/>
      <c r="Q146"/>
      <c r="R146"/>
      <c r="S146"/>
      <c r="T146"/>
      <c r="U146"/>
      <c r="V146"/>
      <c r="W146" s="6"/>
      <c r="X146"/>
      <c r="Y146"/>
      <c r="Z146"/>
    </row>
    <row r="147" spans="2:26" s="4" customFormat="1" x14ac:dyDescent="0.2">
      <c r="B147"/>
      <c r="C147" s="1"/>
      <c r="D147" s="2"/>
      <c r="E147"/>
      <c r="F147"/>
      <c r="G147"/>
      <c r="H147" s="3"/>
      <c r="J147"/>
      <c r="K147"/>
      <c r="L147" s="427"/>
      <c r="M147" s="427"/>
      <c r="N147" s="59"/>
      <c r="O147" s="59"/>
      <c r="Q147"/>
      <c r="R147"/>
      <c r="S147"/>
      <c r="T147"/>
      <c r="U147"/>
      <c r="V147"/>
      <c r="W147" s="6"/>
      <c r="X147"/>
      <c r="Y147"/>
      <c r="Z147"/>
    </row>
    <row r="148" spans="2:26" s="4" customFormat="1" x14ac:dyDescent="0.2">
      <c r="B148"/>
      <c r="C148" s="1"/>
      <c r="D148" s="2"/>
      <c r="E148"/>
      <c r="F148"/>
      <c r="G148"/>
      <c r="H148" s="3"/>
      <c r="J148"/>
      <c r="K148"/>
      <c r="L148" s="427"/>
      <c r="M148" s="427"/>
      <c r="N148" s="59"/>
      <c r="O148" s="59"/>
      <c r="Q148"/>
      <c r="R148"/>
      <c r="S148"/>
      <c r="T148"/>
      <c r="U148"/>
      <c r="V148"/>
      <c r="W148" s="6"/>
      <c r="X148"/>
      <c r="Y148"/>
      <c r="Z148"/>
    </row>
    <row r="149" spans="2:26" s="4" customFormat="1" x14ac:dyDescent="0.2">
      <c r="B149"/>
      <c r="C149" s="1"/>
      <c r="D149" s="2"/>
      <c r="E149"/>
      <c r="F149"/>
      <c r="G149"/>
      <c r="H149" s="3"/>
      <c r="J149"/>
      <c r="K149"/>
      <c r="L149" s="427"/>
      <c r="M149" s="427"/>
      <c r="N149" s="59"/>
      <c r="O149" s="59"/>
      <c r="Q149"/>
      <c r="R149"/>
      <c r="S149"/>
      <c r="T149"/>
      <c r="U149"/>
      <c r="V149"/>
      <c r="W149" s="6"/>
      <c r="X149"/>
      <c r="Y149"/>
      <c r="Z149"/>
    </row>
    <row r="150" spans="2:26" s="4" customFormat="1" x14ac:dyDescent="0.2">
      <c r="B150"/>
      <c r="C150" s="1"/>
      <c r="D150" s="2"/>
      <c r="E150"/>
      <c r="F150"/>
      <c r="G150"/>
      <c r="H150" s="3"/>
      <c r="J150"/>
      <c r="K150"/>
      <c r="L150" s="427"/>
      <c r="M150" s="427"/>
      <c r="N150" s="59"/>
      <c r="O150" s="59"/>
      <c r="Q150"/>
      <c r="R150"/>
      <c r="S150"/>
      <c r="T150"/>
      <c r="U150"/>
      <c r="V150"/>
      <c r="W150" s="6"/>
      <c r="X150"/>
      <c r="Y150"/>
      <c r="Z150"/>
    </row>
    <row r="151" spans="2:26" s="4" customFormat="1" x14ac:dyDescent="0.2">
      <c r="B151"/>
      <c r="C151" s="1"/>
      <c r="D151" s="2"/>
      <c r="E151"/>
      <c r="F151"/>
      <c r="G151"/>
      <c r="H151" s="3"/>
      <c r="J151"/>
      <c r="K151"/>
      <c r="L151" s="427"/>
      <c r="M151" s="427"/>
      <c r="N151" s="59"/>
      <c r="O151" s="59"/>
      <c r="Q151"/>
      <c r="R151"/>
      <c r="S151"/>
      <c r="T151"/>
      <c r="U151"/>
      <c r="V151"/>
      <c r="W151" s="6"/>
      <c r="X151"/>
      <c r="Y151"/>
      <c r="Z151"/>
    </row>
    <row r="152" spans="2:26" s="4" customFormat="1" x14ac:dyDescent="0.2">
      <c r="B152"/>
      <c r="C152" s="1"/>
      <c r="D152" s="2"/>
      <c r="E152"/>
      <c r="F152"/>
      <c r="G152"/>
      <c r="H152" s="3"/>
      <c r="J152"/>
      <c r="K152"/>
      <c r="L152" s="427"/>
      <c r="M152" s="427"/>
      <c r="N152" s="59"/>
      <c r="O152" s="59"/>
      <c r="Q152"/>
      <c r="R152"/>
      <c r="S152"/>
      <c r="T152"/>
      <c r="U152"/>
      <c r="V152"/>
      <c r="W152" s="6"/>
      <c r="X152"/>
      <c r="Y152"/>
      <c r="Z152"/>
    </row>
    <row r="153" spans="2:26" s="4" customFormat="1" x14ac:dyDescent="0.2">
      <c r="B153"/>
      <c r="C153" s="1"/>
      <c r="D153" s="2"/>
      <c r="E153"/>
      <c r="F153"/>
      <c r="G153"/>
      <c r="H153" s="3"/>
      <c r="J153"/>
      <c r="K153"/>
      <c r="L153" s="427"/>
      <c r="M153" s="427"/>
      <c r="N153" s="59"/>
      <c r="O153" s="59"/>
      <c r="Q153"/>
      <c r="R153"/>
      <c r="S153"/>
      <c r="T153"/>
      <c r="U153"/>
      <c r="V153"/>
      <c r="W153" s="6"/>
      <c r="X153"/>
      <c r="Y153"/>
      <c r="Z153"/>
    </row>
    <row r="154" spans="2:26" s="4" customFormat="1" x14ac:dyDescent="0.2">
      <c r="B154"/>
      <c r="C154" s="1"/>
      <c r="D154" s="2"/>
      <c r="E154"/>
      <c r="F154"/>
      <c r="G154"/>
      <c r="H154" s="3"/>
      <c r="J154"/>
      <c r="K154"/>
      <c r="L154" s="427"/>
      <c r="M154" s="427"/>
      <c r="N154" s="59"/>
      <c r="O154" s="59"/>
      <c r="Q154"/>
      <c r="R154"/>
      <c r="S154"/>
      <c r="T154"/>
      <c r="U154"/>
      <c r="V154"/>
      <c r="W154" s="6"/>
      <c r="X154"/>
      <c r="Y154"/>
      <c r="Z154"/>
    </row>
    <row r="155" spans="2:26" s="4" customFormat="1" x14ac:dyDescent="0.2">
      <c r="B155"/>
      <c r="C155" s="1"/>
      <c r="D155" s="2"/>
      <c r="E155"/>
      <c r="F155"/>
      <c r="G155"/>
      <c r="H155" s="3"/>
      <c r="J155"/>
      <c r="K155"/>
      <c r="L155" s="427"/>
      <c r="M155" s="427"/>
      <c r="N155" s="59"/>
      <c r="O155" s="59"/>
      <c r="Q155"/>
      <c r="R155"/>
      <c r="S155"/>
      <c r="T155"/>
      <c r="U155"/>
      <c r="V155"/>
      <c r="W155" s="6"/>
      <c r="X155"/>
      <c r="Y155"/>
      <c r="Z155"/>
    </row>
    <row r="156" spans="2:26" s="4" customFormat="1" x14ac:dyDescent="0.2">
      <c r="B156"/>
      <c r="C156" s="1"/>
      <c r="D156" s="2"/>
      <c r="E156"/>
      <c r="F156"/>
      <c r="G156"/>
      <c r="H156" s="3"/>
      <c r="J156"/>
      <c r="K156"/>
      <c r="L156" s="427"/>
      <c r="M156" s="427"/>
      <c r="N156" s="59"/>
      <c r="O156" s="59"/>
      <c r="Q156"/>
      <c r="R156"/>
      <c r="S156"/>
      <c r="T156"/>
      <c r="U156"/>
      <c r="V156"/>
      <c r="W156" s="6"/>
      <c r="X156"/>
      <c r="Y156"/>
      <c r="Z156"/>
    </row>
    <row r="157" spans="2:26" s="4" customFormat="1" x14ac:dyDescent="0.2">
      <c r="B157"/>
      <c r="C157" s="1"/>
      <c r="D157" s="2"/>
      <c r="E157"/>
      <c r="F157"/>
      <c r="G157"/>
      <c r="H157" s="3"/>
      <c r="J157"/>
      <c r="K157"/>
      <c r="L157" s="427"/>
      <c r="M157" s="427"/>
      <c r="N157" s="59"/>
      <c r="O157" s="59"/>
      <c r="Q157"/>
      <c r="R157"/>
      <c r="S157"/>
      <c r="T157"/>
      <c r="U157"/>
      <c r="V157"/>
      <c r="W157" s="6"/>
      <c r="X157"/>
      <c r="Y157"/>
      <c r="Z157"/>
    </row>
    <row r="158" spans="2:26" s="4" customFormat="1" x14ac:dyDescent="0.2">
      <c r="B158"/>
      <c r="C158" s="1"/>
      <c r="D158" s="2"/>
      <c r="E158"/>
      <c r="F158"/>
      <c r="G158"/>
      <c r="H158" s="3"/>
      <c r="J158"/>
      <c r="K158"/>
      <c r="L158" s="427"/>
      <c r="M158" s="427"/>
      <c r="N158" s="59"/>
      <c r="O158" s="59"/>
      <c r="Q158"/>
      <c r="R158"/>
      <c r="S158"/>
      <c r="T158"/>
      <c r="U158"/>
      <c r="V158"/>
      <c r="W158" s="6"/>
      <c r="X158"/>
      <c r="Y158"/>
      <c r="Z158"/>
    </row>
    <row r="159" spans="2:26" s="4" customFormat="1" x14ac:dyDescent="0.2">
      <c r="B159"/>
      <c r="C159" s="1"/>
      <c r="D159" s="2"/>
      <c r="E159"/>
      <c r="F159"/>
      <c r="G159"/>
      <c r="H159" s="3"/>
      <c r="J159"/>
      <c r="K159"/>
      <c r="L159" s="427"/>
      <c r="M159" s="427"/>
      <c r="N159" s="59"/>
      <c r="O159" s="59"/>
      <c r="Q159"/>
      <c r="R159"/>
      <c r="S159"/>
      <c r="T159"/>
      <c r="U159"/>
      <c r="V159"/>
      <c r="W159" s="6"/>
      <c r="X159"/>
      <c r="Y159"/>
      <c r="Z159"/>
    </row>
    <row r="160" spans="2:26" s="4" customFormat="1" x14ac:dyDescent="0.2">
      <c r="B160"/>
      <c r="C160" s="1"/>
      <c r="D160" s="2"/>
      <c r="E160"/>
      <c r="F160"/>
      <c r="G160"/>
      <c r="H160" s="3"/>
      <c r="J160"/>
      <c r="K160"/>
      <c r="L160" s="427"/>
      <c r="M160" s="427"/>
      <c r="N160" s="59"/>
      <c r="O160" s="59"/>
      <c r="Q160"/>
      <c r="R160"/>
      <c r="S160"/>
      <c r="T160"/>
      <c r="U160"/>
      <c r="V160"/>
      <c r="W160" s="6"/>
      <c r="X160"/>
      <c r="Y160"/>
      <c r="Z160"/>
    </row>
    <row r="161" spans="2:26" s="4" customFormat="1" x14ac:dyDescent="0.2">
      <c r="B161"/>
      <c r="C161" s="1"/>
      <c r="D161" s="2"/>
      <c r="E161"/>
      <c r="F161"/>
      <c r="G161"/>
      <c r="H161" s="3"/>
      <c r="J161"/>
      <c r="K161"/>
      <c r="L161" s="427"/>
      <c r="M161" s="427"/>
      <c r="N161" s="59"/>
      <c r="O161" s="59"/>
      <c r="Q161"/>
      <c r="R161"/>
      <c r="S161"/>
      <c r="T161"/>
      <c r="U161"/>
      <c r="V161"/>
      <c r="W161" s="6"/>
      <c r="X161"/>
      <c r="Y161"/>
      <c r="Z161"/>
    </row>
    <row r="162" spans="2:26" s="4" customFormat="1" x14ac:dyDescent="0.2">
      <c r="B162"/>
      <c r="C162" s="1"/>
      <c r="D162" s="2"/>
      <c r="E162"/>
      <c r="F162"/>
      <c r="G162"/>
      <c r="H162" s="3"/>
      <c r="J162"/>
      <c r="K162"/>
      <c r="L162" s="427"/>
      <c r="M162" s="427"/>
      <c r="N162" s="59"/>
      <c r="O162" s="59"/>
      <c r="Q162"/>
      <c r="R162"/>
      <c r="S162"/>
      <c r="T162"/>
      <c r="U162"/>
      <c r="V162"/>
      <c r="W162" s="6"/>
      <c r="X162"/>
      <c r="Y162"/>
      <c r="Z162"/>
    </row>
    <row r="163" spans="2:26" s="4" customFormat="1" x14ac:dyDescent="0.2">
      <c r="B163"/>
      <c r="C163" s="1"/>
      <c r="D163" s="2"/>
      <c r="E163"/>
      <c r="F163"/>
      <c r="G163"/>
      <c r="H163" s="3"/>
      <c r="J163"/>
      <c r="K163"/>
      <c r="L163" s="427"/>
      <c r="M163" s="427"/>
      <c r="N163" s="59"/>
      <c r="O163" s="59"/>
      <c r="Q163"/>
      <c r="R163"/>
      <c r="S163"/>
      <c r="T163"/>
      <c r="U163"/>
      <c r="V163"/>
      <c r="W163" s="6"/>
      <c r="X163"/>
      <c r="Y163"/>
      <c r="Z163"/>
    </row>
    <row r="164" spans="2:26" s="4" customFormat="1" x14ac:dyDescent="0.2">
      <c r="B164"/>
      <c r="C164" s="1"/>
      <c r="D164" s="2"/>
      <c r="E164"/>
      <c r="F164"/>
      <c r="G164"/>
      <c r="H164" s="3"/>
      <c r="J164"/>
      <c r="K164"/>
      <c r="L164" s="427"/>
      <c r="M164" s="427"/>
      <c r="N164" s="59"/>
      <c r="O164" s="59"/>
      <c r="Q164"/>
      <c r="R164"/>
      <c r="S164"/>
      <c r="T164"/>
      <c r="U164"/>
      <c r="V164"/>
      <c r="W164" s="6"/>
      <c r="X164"/>
      <c r="Y164"/>
      <c r="Z164"/>
    </row>
    <row r="165" spans="2:26" s="4" customFormat="1" x14ac:dyDescent="0.2">
      <c r="B165"/>
      <c r="C165" s="1"/>
      <c r="D165" s="2"/>
      <c r="E165"/>
      <c r="F165"/>
      <c r="G165"/>
      <c r="H165" s="3"/>
      <c r="J165"/>
      <c r="K165"/>
      <c r="L165" s="427"/>
      <c r="M165" s="427"/>
      <c r="N165" s="59"/>
      <c r="O165" s="59"/>
      <c r="Q165"/>
      <c r="R165"/>
      <c r="S165"/>
      <c r="T165"/>
      <c r="U165"/>
      <c r="V165"/>
      <c r="W165" s="6"/>
      <c r="X165"/>
      <c r="Y165"/>
      <c r="Z165"/>
    </row>
    <row r="166" spans="2:26" s="4" customFormat="1" x14ac:dyDescent="0.2">
      <c r="B166"/>
      <c r="C166" s="1"/>
      <c r="D166" s="2"/>
      <c r="E166"/>
      <c r="F166"/>
      <c r="G166"/>
      <c r="H166" s="3"/>
      <c r="J166"/>
      <c r="K166"/>
      <c r="L166" s="427"/>
      <c r="M166" s="427"/>
      <c r="N166" s="59"/>
      <c r="O166" s="59"/>
      <c r="Q166"/>
      <c r="R166"/>
      <c r="S166"/>
      <c r="T166"/>
      <c r="U166"/>
      <c r="V166"/>
      <c r="W166" s="6"/>
      <c r="X166"/>
      <c r="Y166"/>
      <c r="Z166"/>
    </row>
    <row r="167" spans="2:26" s="4" customFormat="1" x14ac:dyDescent="0.2">
      <c r="B167"/>
      <c r="C167" s="1"/>
      <c r="D167" s="2"/>
      <c r="E167"/>
      <c r="F167"/>
      <c r="G167"/>
      <c r="H167" s="3"/>
      <c r="J167"/>
      <c r="K167"/>
      <c r="L167" s="427"/>
      <c r="M167" s="427"/>
      <c r="N167" s="59"/>
      <c r="O167" s="59"/>
      <c r="Q167"/>
      <c r="R167"/>
      <c r="S167"/>
      <c r="T167"/>
      <c r="U167"/>
      <c r="V167"/>
      <c r="W167" s="6"/>
      <c r="X167"/>
      <c r="Y167"/>
      <c r="Z167"/>
    </row>
    <row r="168" spans="2:26" s="4" customFormat="1" x14ac:dyDescent="0.2">
      <c r="B168"/>
      <c r="C168" s="1"/>
      <c r="D168" s="2"/>
      <c r="E168"/>
      <c r="F168"/>
      <c r="G168"/>
      <c r="H168" s="3"/>
      <c r="J168"/>
      <c r="K168"/>
      <c r="L168" s="427"/>
      <c r="M168" s="427"/>
      <c r="N168" s="59"/>
      <c r="O168" s="59"/>
      <c r="Q168"/>
      <c r="R168"/>
      <c r="S168"/>
      <c r="T168"/>
      <c r="U168"/>
      <c r="V168"/>
      <c r="W168" s="6"/>
      <c r="X168"/>
      <c r="Y168"/>
      <c r="Z168"/>
    </row>
    <row r="169" spans="2:26" s="4" customFormat="1" x14ac:dyDescent="0.2">
      <c r="B169"/>
      <c r="C169" s="1"/>
      <c r="D169" s="2"/>
      <c r="E169"/>
      <c r="F169"/>
      <c r="G169"/>
      <c r="H169" s="3"/>
      <c r="J169"/>
      <c r="K169"/>
      <c r="L169" s="427"/>
      <c r="M169" s="427"/>
      <c r="N169" s="59"/>
      <c r="O169" s="59"/>
      <c r="Q169"/>
      <c r="R169"/>
      <c r="S169"/>
      <c r="T169"/>
      <c r="U169"/>
      <c r="V169"/>
      <c r="W169" s="6"/>
      <c r="X169"/>
      <c r="Y169"/>
      <c r="Z169"/>
    </row>
  </sheetData>
  <mergeCells count="18">
    <mergeCell ref="O2:R3"/>
    <mergeCell ref="I122:J122"/>
    <mergeCell ref="P110:Q110"/>
    <mergeCell ref="P111:Q111"/>
    <mergeCell ref="P112:Q112"/>
    <mergeCell ref="I102:J102"/>
    <mergeCell ref="H97:I97"/>
    <mergeCell ref="J97:K97"/>
    <mergeCell ref="H109:I109"/>
    <mergeCell ref="H110:I110"/>
    <mergeCell ref="H111:I111"/>
    <mergeCell ref="H113:I113"/>
    <mergeCell ref="H112:I112"/>
    <mergeCell ref="G2:K2"/>
    <mergeCell ref="H95:I95"/>
    <mergeCell ref="J95:K95"/>
    <mergeCell ref="H96:I96"/>
    <mergeCell ref="J96:K96"/>
  </mergeCells>
  <hyperlinks>
    <hyperlink ref="U40" r:id="rId1"/>
    <hyperlink ref="U7" r:id="rId2"/>
    <hyperlink ref="U13" r:id="rId3"/>
    <hyperlink ref="U9" r:id="rId4"/>
    <hyperlink ref="U10" r:id="rId5"/>
    <hyperlink ref="U31" r:id="rId6"/>
    <hyperlink ref="U36" r:id="rId7"/>
    <hyperlink ref="U39" r:id="rId8"/>
    <hyperlink ref="W100" r:id="rId9"/>
    <hyperlink ref="W103" r:id="rId10"/>
    <hyperlink ref="W116" r:id="rId11"/>
    <hyperlink ref="W117" r:id="rId12"/>
    <hyperlink ref="U41" r:id="rId13"/>
    <hyperlink ref="U16" r:id="rId14"/>
    <hyperlink ref="U15" r:id="rId15"/>
    <hyperlink ref="W111" r:id="rId16"/>
    <hyperlink ref="W102" r:id="rId17"/>
    <hyperlink ref="W106" r:id="rId18"/>
    <hyperlink ref="W107" r:id="rId19"/>
    <hyperlink ref="W125" r:id="rId20"/>
    <hyperlink ref="W127" r:id="rId21"/>
    <hyperlink ref="W128" r:id="rId22"/>
    <hyperlink ref="W9" r:id="rId23"/>
  </hyperlinks>
  <pageMargins left="0.25" right="0.25" top="0.75" bottom="0.75" header="0.3" footer="0.3"/>
  <pageSetup paperSize="9" scale="90" orientation="portrait" horizontalDpi="0" verticalDpi="0" r:id="rId24"/>
  <drawing r:id="rId25"/>
  <legacyDrawing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86"/>
  <sheetViews>
    <sheetView zoomScaleNormal="100" workbookViewId="0">
      <pane xSplit="6" ySplit="4" topLeftCell="G5" activePane="bottomRight" state="frozen"/>
      <selection pane="topRight" activeCell="F1" sqref="F1"/>
      <selection pane="bottomLeft" activeCell="A5" sqref="A5"/>
      <selection pane="bottomRight" activeCell="AH65" sqref="AH65"/>
    </sheetView>
  </sheetViews>
  <sheetFormatPr baseColWidth="10" defaultRowHeight="12.75" x14ac:dyDescent="0.2"/>
  <cols>
    <col min="1" max="1" width="3.140625" style="138" customWidth="1"/>
    <col min="2" max="2" width="1.140625" style="138" customWidth="1"/>
    <col min="3" max="3" width="1.140625" style="1" customWidth="1"/>
    <col min="4" max="4" width="2.42578125" style="64" customWidth="1"/>
    <col min="5" max="5" width="3" style="2" customWidth="1"/>
    <col min="6" max="6" width="28.140625" style="138" customWidth="1"/>
    <col min="7" max="7" width="3" style="138" customWidth="1"/>
    <col min="8" max="8" width="2.85546875" style="138" customWidth="1"/>
    <col min="9" max="9" width="6.5703125" style="138" bestFit="1" customWidth="1"/>
    <col min="10" max="10" width="2.140625" style="138" customWidth="1"/>
    <col min="11" max="11" width="7.7109375" style="138" customWidth="1"/>
    <col min="12" max="12" width="1.28515625" style="138" customWidth="1"/>
    <col min="13" max="13" width="1.85546875" style="138" customWidth="1"/>
    <col min="14" max="14" width="2.28515625" style="29" customWidth="1"/>
    <col min="15" max="15" width="1.85546875" style="29" customWidth="1"/>
    <col min="16" max="16" width="0.5703125" style="29" customWidth="1"/>
    <col min="17" max="18" width="6.85546875" style="29" customWidth="1"/>
    <col min="19" max="19" width="0.42578125" style="29" customWidth="1"/>
    <col min="20" max="20" width="7.7109375" style="29" customWidth="1"/>
    <col min="21" max="21" width="7.28515625" style="29" customWidth="1"/>
    <col min="22" max="22" width="13" style="29" customWidth="1"/>
    <col min="23" max="23" width="1.42578125" style="29" customWidth="1"/>
    <col min="24" max="25" width="1.85546875" style="29" customWidth="1"/>
    <col min="26" max="27" width="7" style="29" customWidth="1"/>
    <col min="28" max="28" width="2.5703125" style="29" customWidth="1"/>
    <col min="29" max="30" width="7" style="29" customWidth="1"/>
    <col min="31" max="31" width="7" style="5" bestFit="1" customWidth="1"/>
    <col min="32" max="32" width="7.140625" style="139" customWidth="1"/>
    <col min="33" max="33" width="8" style="138" bestFit="1" customWidth="1"/>
    <col min="34" max="35" width="8" style="138" customWidth="1"/>
    <col min="36" max="36" width="26.42578125" style="138" bestFit="1" customWidth="1"/>
    <col min="37" max="37" width="8" style="138" customWidth="1"/>
    <col min="38" max="16384" width="11.42578125" style="138"/>
  </cols>
  <sheetData>
    <row r="1" spans="2:37" ht="13.5" thickBot="1" x14ac:dyDescent="0.25">
      <c r="Q1" s="29" t="s">
        <v>184</v>
      </c>
      <c r="Z1" s="25"/>
      <c r="AA1" s="25"/>
      <c r="AC1" s="25"/>
      <c r="AD1" s="25"/>
    </row>
    <row r="2" spans="2:37" ht="14.25" thickTop="1" thickBot="1" x14ac:dyDescent="0.25">
      <c r="B2" s="140"/>
      <c r="C2" s="141"/>
      <c r="D2" s="147"/>
      <c r="E2" s="147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9"/>
      <c r="Z2" s="74">
        <f>+Z4/$AH$3</f>
        <v>0.15994715960335243</v>
      </c>
      <c r="AA2" s="74">
        <f>+AA4/$AH$3</f>
        <v>0.19303621304924959</v>
      </c>
      <c r="AB2" s="214"/>
      <c r="AC2" s="74">
        <f>+AC4/$AH$3</f>
        <v>0.22035558291410312</v>
      </c>
      <c r="AD2" s="74">
        <f>+AD4/$AH$3</f>
        <v>0.42666104443329494</v>
      </c>
      <c r="AF2" s="7"/>
    </row>
    <row r="3" spans="2:37" ht="19.5" customHeight="1" thickTop="1" thickBot="1" x14ac:dyDescent="0.3">
      <c r="B3" s="142"/>
      <c r="C3" s="143"/>
      <c r="D3" s="322" t="s">
        <v>2</v>
      </c>
      <c r="E3" s="323"/>
      <c r="F3" s="323"/>
      <c r="G3" s="328" t="str">
        <f>+TEXT(AG3,"# ##0")&amp;" kg"</f>
        <v>12 092 kg</v>
      </c>
      <c r="H3" s="328"/>
      <c r="I3" s="328"/>
      <c r="J3" s="328"/>
      <c r="K3" s="328"/>
      <c r="L3" s="328"/>
      <c r="M3" s="329"/>
      <c r="N3" s="161"/>
      <c r="O3" s="161"/>
      <c r="P3" s="263"/>
      <c r="Q3" s="334" t="s">
        <v>185</v>
      </c>
      <c r="R3" s="334"/>
      <c r="S3" s="334"/>
      <c r="T3" s="334"/>
      <c r="U3" s="334"/>
      <c r="V3" s="335"/>
      <c r="W3" s="151"/>
      <c r="X3" s="152"/>
      <c r="Z3" s="211" t="s">
        <v>176</v>
      </c>
      <c r="AA3" s="211" t="s">
        <v>177</v>
      </c>
      <c r="AB3" s="212"/>
      <c r="AC3" s="213" t="s">
        <v>178</v>
      </c>
      <c r="AD3" s="213" t="s">
        <v>179</v>
      </c>
      <c r="AF3" s="11"/>
      <c r="AG3" s="124">
        <f>+'calculs et données'!Q4</f>
        <v>12091.933390978846</v>
      </c>
      <c r="AH3" s="125">
        <f>+SUM(AG9:AG81)</f>
        <v>12091.933390978846</v>
      </c>
    </row>
    <row r="4" spans="2:37" ht="18.75" thickTop="1" x14ac:dyDescent="0.25">
      <c r="B4" s="142"/>
      <c r="C4" s="143"/>
      <c r="D4" s="324"/>
      <c r="E4" s="325"/>
      <c r="F4" s="325"/>
      <c r="G4" s="330"/>
      <c r="H4" s="330"/>
      <c r="I4" s="330"/>
      <c r="J4" s="330"/>
      <c r="K4" s="330"/>
      <c r="L4" s="330"/>
      <c r="M4" s="331"/>
      <c r="N4" s="161"/>
      <c r="O4" s="161"/>
      <c r="P4" s="264"/>
      <c r="Q4" s="345" t="s">
        <v>168</v>
      </c>
      <c r="R4" s="345"/>
      <c r="S4" s="266"/>
      <c r="T4" s="345" t="s">
        <v>171</v>
      </c>
      <c r="U4" s="346"/>
      <c r="V4" s="336" t="s">
        <v>173</v>
      </c>
      <c r="W4" s="151"/>
      <c r="X4" s="152"/>
      <c r="Z4" s="26">
        <f>+SUM(Z12:Z80)</f>
        <v>1934.0703999999998</v>
      </c>
      <c r="AA4" s="26">
        <f>+SUM(AA12:AA80)</f>
        <v>2334.1810302383274</v>
      </c>
      <c r="AB4" s="26"/>
      <c r="AC4" s="26">
        <f>+SUM(AC12:AC80)</f>
        <v>2664.5250309276512</v>
      </c>
      <c r="AD4" s="26">
        <f>+SUM(AD12:AD80)</f>
        <v>5159.1569298128679</v>
      </c>
      <c r="AH4" s="12">
        <f>+AH3/$AH$3</f>
        <v>1</v>
      </c>
      <c r="AI4" s="12"/>
      <c r="AJ4" s="12"/>
      <c r="AK4" s="12"/>
    </row>
    <row r="5" spans="2:37" s="178" customFormat="1" x14ac:dyDescent="0.2">
      <c r="B5" s="142"/>
      <c r="C5" s="143"/>
      <c r="D5" s="324"/>
      <c r="E5" s="325"/>
      <c r="F5" s="325"/>
      <c r="G5" s="330"/>
      <c r="H5" s="330"/>
      <c r="I5" s="330"/>
      <c r="J5" s="330"/>
      <c r="K5" s="330"/>
      <c r="L5" s="330"/>
      <c r="M5" s="331"/>
      <c r="N5" s="151"/>
      <c r="O5" s="151"/>
      <c r="P5" s="264"/>
      <c r="Q5" s="267" t="s">
        <v>169</v>
      </c>
      <c r="R5" s="267" t="s">
        <v>170</v>
      </c>
      <c r="S5" s="267"/>
      <c r="T5" s="267" t="s">
        <v>186</v>
      </c>
      <c r="U5" s="268" t="s">
        <v>179</v>
      </c>
      <c r="V5" s="337"/>
      <c r="W5" s="151"/>
      <c r="X5" s="152"/>
      <c r="Y5" s="29"/>
      <c r="Z5" s="26"/>
      <c r="AA5" s="26"/>
      <c r="AB5" s="26"/>
      <c r="AC5" s="26"/>
      <c r="AD5" s="26"/>
      <c r="AE5" s="5"/>
      <c r="AF5" s="177"/>
      <c r="AH5" s="12"/>
      <c r="AI5" s="12"/>
      <c r="AJ5" s="12"/>
      <c r="AK5" s="12"/>
    </row>
    <row r="6" spans="2:37" s="178" customFormat="1" x14ac:dyDescent="0.2">
      <c r="B6" s="142"/>
      <c r="C6" s="143"/>
      <c r="D6" s="324"/>
      <c r="E6" s="325"/>
      <c r="F6" s="325"/>
      <c r="G6" s="330"/>
      <c r="H6" s="330"/>
      <c r="I6" s="330"/>
      <c r="J6" s="330"/>
      <c r="K6" s="330"/>
      <c r="L6" s="330"/>
      <c r="M6" s="331"/>
      <c r="N6" s="151"/>
      <c r="O6" s="151"/>
      <c r="P6" s="264"/>
      <c r="Q6" s="269">
        <f>+Z4</f>
        <v>1934.0703999999998</v>
      </c>
      <c r="R6" s="269">
        <f>+AA4</f>
        <v>2334.1810302383274</v>
      </c>
      <c r="S6" s="270"/>
      <c r="T6" s="269">
        <f>+AC4</f>
        <v>2664.5250309276512</v>
      </c>
      <c r="U6" s="271">
        <f>+AD4</f>
        <v>5159.1569298128679</v>
      </c>
      <c r="V6" s="337"/>
      <c r="W6" s="151"/>
      <c r="X6" s="152"/>
      <c r="Y6" s="29"/>
      <c r="Z6" s="26"/>
      <c r="AA6" s="26"/>
      <c r="AB6" s="26"/>
      <c r="AC6" s="26"/>
      <c r="AD6" s="26"/>
      <c r="AE6" s="5"/>
      <c r="AF6" s="177"/>
      <c r="AH6" s="12"/>
      <c r="AI6" s="12"/>
      <c r="AJ6" s="12"/>
      <c r="AK6" s="12"/>
    </row>
    <row r="7" spans="2:37" s="178" customFormat="1" ht="13.5" thickBot="1" x14ac:dyDescent="0.25">
      <c r="B7" s="142"/>
      <c r="C7" s="143"/>
      <c r="D7" s="326"/>
      <c r="E7" s="327"/>
      <c r="F7" s="327"/>
      <c r="G7" s="332"/>
      <c r="H7" s="332"/>
      <c r="I7" s="332"/>
      <c r="J7" s="332"/>
      <c r="K7" s="332"/>
      <c r="L7" s="332"/>
      <c r="M7" s="333"/>
      <c r="N7" s="151"/>
      <c r="O7" s="151"/>
      <c r="P7" s="265"/>
      <c r="Q7" s="272">
        <f>+Z2</f>
        <v>0.15994715960335243</v>
      </c>
      <c r="R7" s="272">
        <f>+AA2</f>
        <v>0.19303621304924959</v>
      </c>
      <c r="S7" s="272"/>
      <c r="T7" s="272">
        <f>+AC2</f>
        <v>0.22035558291410312</v>
      </c>
      <c r="U7" s="273">
        <f>+AD2</f>
        <v>0.42666104443329494</v>
      </c>
      <c r="V7" s="338"/>
      <c r="W7" s="151"/>
      <c r="X7" s="152"/>
      <c r="Y7" s="29"/>
      <c r="Z7" s="26"/>
      <c r="AA7" s="26"/>
      <c r="AB7" s="26"/>
      <c r="AC7" s="26"/>
      <c r="AD7" s="26"/>
      <c r="AE7" s="5"/>
      <c r="AF7" s="177"/>
      <c r="AH7" s="12"/>
      <c r="AI7" s="12"/>
      <c r="AJ7" s="12"/>
      <c r="AK7" s="12"/>
    </row>
    <row r="8" spans="2:37" s="178" customFormat="1" ht="14.25" thickTop="1" thickBot="1" x14ac:dyDescent="0.25">
      <c r="B8" s="142"/>
      <c r="C8" s="143"/>
      <c r="D8" s="150"/>
      <c r="E8" s="150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2"/>
      <c r="Y8" s="29"/>
      <c r="Z8" s="26"/>
      <c r="AA8" s="26"/>
      <c r="AB8" s="26"/>
      <c r="AC8" s="26"/>
      <c r="AD8" s="26"/>
      <c r="AE8" s="5"/>
      <c r="AF8" s="177"/>
      <c r="AH8" s="12"/>
      <c r="AI8" s="12"/>
      <c r="AJ8" s="12"/>
      <c r="AK8" s="12"/>
    </row>
    <row r="9" spans="2:37" ht="13.5" thickTop="1" x14ac:dyDescent="0.2">
      <c r="B9" s="142"/>
      <c r="C9" s="143"/>
      <c r="D9" s="105" t="s">
        <v>5</v>
      </c>
      <c r="E9" s="106"/>
      <c r="F9" s="107"/>
      <c r="G9" s="108" t="str">
        <f>+TEXT(AG9,"# ##0")&amp;" kg"</f>
        <v>2 353 kg</v>
      </c>
      <c r="H9" s="107"/>
      <c r="I9" s="107"/>
      <c r="J9" s="107"/>
      <c r="K9" s="109">
        <f>+AH9</f>
        <v>0.19456044984130988</v>
      </c>
      <c r="L9" s="90"/>
      <c r="M9" s="91"/>
      <c r="N9" s="152"/>
      <c r="O9" s="246"/>
      <c r="P9" s="247"/>
      <c r="Q9" s="247"/>
      <c r="R9" s="247"/>
      <c r="S9" s="247"/>
      <c r="T9" s="247"/>
      <c r="U9" s="247"/>
      <c r="V9" s="247"/>
      <c r="W9" s="239"/>
      <c r="X9" s="152"/>
      <c r="AE9" s="18"/>
      <c r="AF9" s="19"/>
      <c r="AG9" s="20">
        <f>+SUM(AE12:AE32)</f>
        <v>2352.6119999999996</v>
      </c>
      <c r="AH9" s="21">
        <f>+AG9/$AH$3</f>
        <v>0.19456044984130988</v>
      </c>
      <c r="AI9" s="21"/>
      <c r="AJ9" s="22"/>
      <c r="AK9" s="22"/>
    </row>
    <row r="10" spans="2:37" ht="13.5" thickBot="1" x14ac:dyDescent="0.25">
      <c r="B10" s="142"/>
      <c r="C10" s="143"/>
      <c r="D10" s="98"/>
      <c r="E10" s="92"/>
      <c r="F10" s="93"/>
      <c r="G10" s="94"/>
      <c r="H10" s="95"/>
      <c r="I10" s="95"/>
      <c r="J10" s="95"/>
      <c r="K10" s="96"/>
      <c r="L10" s="95"/>
      <c r="M10" s="97"/>
      <c r="N10" s="152"/>
      <c r="O10" s="248"/>
      <c r="P10" s="95"/>
      <c r="Q10" s="95"/>
      <c r="R10" s="95"/>
      <c r="S10" s="95"/>
      <c r="T10" s="95"/>
      <c r="U10" s="95"/>
      <c r="V10" s="95"/>
      <c r="W10" s="240"/>
      <c r="X10" s="152"/>
      <c r="AE10" s="30"/>
      <c r="AF10" s="89"/>
      <c r="AG10" s="20"/>
      <c r="AH10" s="21"/>
      <c r="AI10" s="21"/>
      <c r="AJ10" s="22"/>
      <c r="AK10" s="22"/>
    </row>
    <row r="11" spans="2:37" x14ac:dyDescent="0.2">
      <c r="B11" s="142"/>
      <c r="C11" s="143"/>
      <c r="D11" s="99"/>
      <c r="E11" s="66" t="s">
        <v>100</v>
      </c>
      <c r="F11" s="87"/>
      <c r="G11" s="67"/>
      <c r="H11" s="68" t="str">
        <f>+TEXT(AF11,"# ##0")&amp;" kg"</f>
        <v>263 kg</v>
      </c>
      <c r="I11" s="67"/>
      <c r="J11" s="67"/>
      <c r="K11" s="69">
        <f t="shared" ref="K11:K16" si="0">+AH11</f>
        <v>2.1731595064528229E-2</v>
      </c>
      <c r="L11" s="70"/>
      <c r="M11" s="97"/>
      <c r="N11" s="152"/>
      <c r="O11" s="248"/>
      <c r="P11" s="217"/>
      <c r="Q11" s="277"/>
      <c r="R11" s="278"/>
      <c r="S11" s="277"/>
      <c r="T11" s="277"/>
      <c r="U11" s="278"/>
      <c r="V11" s="342">
        <v>1</v>
      </c>
      <c r="W11" s="241"/>
      <c r="X11" s="152"/>
      <c r="AE11" s="30"/>
      <c r="AF11" s="31">
        <f>+SUM(AE12:AE13)</f>
        <v>262.77699999999999</v>
      </c>
      <c r="AG11" s="22"/>
      <c r="AH11" s="65">
        <f>+AF11/$AH$3</f>
        <v>2.1731595064528229E-2</v>
      </c>
      <c r="AI11" s="65"/>
      <c r="AJ11" s="32"/>
      <c r="AK11" s="32"/>
    </row>
    <row r="12" spans="2:37" ht="12.75" customHeight="1" x14ac:dyDescent="0.2">
      <c r="B12" s="142"/>
      <c r="C12" s="143"/>
      <c r="D12" s="99"/>
      <c r="E12" s="71"/>
      <c r="F12" s="72" t="s">
        <v>101</v>
      </c>
      <c r="G12" s="73"/>
      <c r="H12" s="73"/>
      <c r="I12" s="73" t="str">
        <f>+TEXT(AE12,"# ##0")&amp;" kg"</f>
        <v>145 kg</v>
      </c>
      <c r="J12" s="73"/>
      <c r="K12" s="74">
        <f t="shared" si="0"/>
        <v>1.2008005279645855E-2</v>
      </c>
      <c r="L12" s="75"/>
      <c r="M12" s="97"/>
      <c r="N12" s="152"/>
      <c r="O12" s="248"/>
      <c r="P12" s="218"/>
      <c r="Q12" s="279">
        <v>0</v>
      </c>
      <c r="R12" s="280">
        <v>0</v>
      </c>
      <c r="S12" s="281">
        <f>1-SUM(Q12:R12)</f>
        <v>1</v>
      </c>
      <c r="T12" s="281">
        <v>0.5</v>
      </c>
      <c r="U12" s="282">
        <f>+S12-T12</f>
        <v>0.5</v>
      </c>
      <c r="V12" s="343"/>
      <c r="W12" s="241"/>
      <c r="X12" s="228"/>
      <c r="Y12" s="126"/>
      <c r="Z12" s="29">
        <f>+$AE12*Q12</f>
        <v>0</v>
      </c>
      <c r="AA12" s="29">
        <f>+$AE12*R12</f>
        <v>0</v>
      </c>
      <c r="AC12" s="29">
        <f>+$AE12*T12</f>
        <v>72.599999999999994</v>
      </c>
      <c r="AD12" s="29">
        <f>+$AE12*U12</f>
        <v>72.599999999999994</v>
      </c>
      <c r="AE12" s="61">
        <f>+SUM('calculs et données'!O9:O10)</f>
        <v>145.19999999999999</v>
      </c>
      <c r="AF12" s="31"/>
      <c r="AG12" s="22"/>
      <c r="AH12" s="50">
        <f>+AE12/$AH$3</f>
        <v>1.2008005279645855E-2</v>
      </c>
      <c r="AI12" s="50"/>
      <c r="AJ12" s="22"/>
      <c r="AK12" s="22"/>
    </row>
    <row r="13" spans="2:37" ht="13.5" thickBot="1" x14ac:dyDescent="0.25">
      <c r="B13" s="142"/>
      <c r="C13" s="143"/>
      <c r="D13" s="99"/>
      <c r="E13" s="76"/>
      <c r="F13" s="77" t="s">
        <v>102</v>
      </c>
      <c r="G13" s="78"/>
      <c r="H13" s="78"/>
      <c r="I13" s="78" t="str">
        <f>+TEXT(AE13,"# ##0")&amp;" kg"</f>
        <v>118 kg</v>
      </c>
      <c r="J13" s="78"/>
      <c r="K13" s="79">
        <f t="shared" si="0"/>
        <v>9.7235897848823756E-3</v>
      </c>
      <c r="L13" s="80"/>
      <c r="M13" s="97"/>
      <c r="N13" s="152"/>
      <c r="O13" s="248"/>
      <c r="P13" s="219"/>
      <c r="Q13" s="283">
        <v>0</v>
      </c>
      <c r="R13" s="284">
        <v>0</v>
      </c>
      <c r="S13" s="285">
        <f>1-SUM(Q13:R13)</f>
        <v>1</v>
      </c>
      <c r="T13" s="285">
        <v>0.3</v>
      </c>
      <c r="U13" s="286">
        <f>+S13-T13</f>
        <v>0.7</v>
      </c>
      <c r="V13" s="344"/>
      <c r="W13" s="241"/>
      <c r="X13" s="228"/>
      <c r="Y13" s="126"/>
      <c r="Z13" s="29">
        <f>+$AE13*Q13</f>
        <v>0</v>
      </c>
      <c r="AA13" s="29">
        <f>+$AE13*R13</f>
        <v>0</v>
      </c>
      <c r="AC13" s="29">
        <f>+$AE13*T13</f>
        <v>35.273099999999999</v>
      </c>
      <c r="AD13" s="29">
        <f>+$AE13*U13</f>
        <v>82.303899999999999</v>
      </c>
      <c r="AE13" s="61">
        <f>+SUM('calculs et données'!O7:O8)</f>
        <v>117.577</v>
      </c>
      <c r="AF13" s="31"/>
      <c r="AG13" s="22"/>
      <c r="AH13" s="50">
        <f>+AE13/$AH$3</f>
        <v>9.7235897848823756E-3</v>
      </c>
      <c r="AI13" s="50"/>
      <c r="AJ13" s="32"/>
      <c r="AK13" s="32"/>
    </row>
    <row r="14" spans="2:37" s="10" customFormat="1" ht="13.5" thickBot="1" x14ac:dyDescent="0.25">
      <c r="B14" s="144"/>
      <c r="C14" s="143"/>
      <c r="D14" s="99"/>
      <c r="E14" s="103"/>
      <c r="F14" s="104"/>
      <c r="G14" s="104"/>
      <c r="H14" s="104"/>
      <c r="I14" s="104"/>
      <c r="J14" s="104"/>
      <c r="K14" s="110"/>
      <c r="L14" s="104"/>
      <c r="M14" s="111"/>
      <c r="N14" s="153"/>
      <c r="O14" s="249"/>
      <c r="P14" s="104"/>
      <c r="Q14" s="287"/>
      <c r="R14" s="287"/>
      <c r="S14" s="287"/>
      <c r="T14" s="287"/>
      <c r="U14" s="287"/>
      <c r="V14" s="250"/>
      <c r="W14" s="242"/>
      <c r="X14" s="228"/>
      <c r="Y14" s="126"/>
      <c r="AD14" s="24"/>
      <c r="AE14" s="112"/>
      <c r="AF14" s="113"/>
      <c r="AG14" s="114"/>
      <c r="AH14" s="115"/>
      <c r="AI14" s="115"/>
      <c r="AJ14" s="116"/>
      <c r="AK14" s="116"/>
    </row>
    <row r="15" spans="2:37" x14ac:dyDescent="0.2">
      <c r="B15" s="142"/>
      <c r="C15" s="143"/>
      <c r="D15" s="99"/>
      <c r="E15" s="66" t="s">
        <v>6</v>
      </c>
      <c r="F15" s="87"/>
      <c r="G15" s="67"/>
      <c r="H15" s="68" t="str">
        <f>+TEXT(AF15,"# ##0")&amp;" kg"</f>
        <v>538 kg</v>
      </c>
      <c r="I15" s="67"/>
      <c r="J15" s="67"/>
      <c r="K15" s="69">
        <f t="shared" si="0"/>
        <v>4.4488749863718223E-2</v>
      </c>
      <c r="L15" s="70"/>
      <c r="M15" s="97"/>
      <c r="N15" s="152"/>
      <c r="O15" s="248"/>
      <c r="P15" s="217"/>
      <c r="Q15" s="277"/>
      <c r="R15" s="278"/>
      <c r="S15" s="277"/>
      <c r="T15" s="277"/>
      <c r="U15" s="278"/>
      <c r="V15" s="347">
        <v>2</v>
      </c>
      <c r="W15" s="243"/>
      <c r="X15" s="228"/>
      <c r="Y15" s="126"/>
      <c r="AE15" s="61"/>
      <c r="AF15" s="31">
        <f>+AE16</f>
        <v>537.95499999999993</v>
      </c>
      <c r="AG15" s="22"/>
      <c r="AH15" s="65">
        <f>+AF15/$AH$3</f>
        <v>4.4488749863718223E-2</v>
      </c>
      <c r="AI15" s="65"/>
      <c r="AJ15" s="22"/>
      <c r="AK15" s="22"/>
    </row>
    <row r="16" spans="2:37" ht="39" thickBot="1" x14ac:dyDescent="0.25">
      <c r="B16" s="142"/>
      <c r="C16" s="143"/>
      <c r="D16" s="99"/>
      <c r="E16" s="76"/>
      <c r="F16" s="88" t="s">
        <v>125</v>
      </c>
      <c r="G16" s="78"/>
      <c r="H16" s="78"/>
      <c r="I16" s="78" t="str">
        <f>+TEXT(AE16,"# ##0")&amp;" kg"</f>
        <v>538 kg</v>
      </c>
      <c r="J16" s="78"/>
      <c r="K16" s="79">
        <f t="shared" si="0"/>
        <v>4.4488749863718223E-2</v>
      </c>
      <c r="L16" s="80"/>
      <c r="M16" s="97"/>
      <c r="N16" s="152"/>
      <c r="O16" s="248"/>
      <c r="P16" s="219"/>
      <c r="Q16" s="283">
        <v>0.8</v>
      </c>
      <c r="R16" s="284">
        <v>0</v>
      </c>
      <c r="S16" s="285">
        <f>1-SUM(Q16:R16)</f>
        <v>0.19999999999999996</v>
      </c>
      <c r="T16" s="285">
        <v>0.1</v>
      </c>
      <c r="U16" s="286">
        <f>+S16-T16</f>
        <v>9.999999999999995E-2</v>
      </c>
      <c r="V16" s="348"/>
      <c r="W16" s="243"/>
      <c r="X16" s="228"/>
      <c r="Y16" s="126"/>
      <c r="Z16" s="215">
        <f>+$AE16*Q16</f>
        <v>430.36399999999998</v>
      </c>
      <c r="AA16" s="215">
        <f>+$AE16*R16</f>
        <v>0</v>
      </c>
      <c r="AB16" s="215"/>
      <c r="AC16" s="215">
        <f>+$AE16*T16</f>
        <v>53.795499999999997</v>
      </c>
      <c r="AD16" s="215">
        <f>+$AE16*U16</f>
        <v>53.795499999999969</v>
      </c>
      <c r="AE16" s="61">
        <f>+SUM('calculs et données'!O13:O26)</f>
        <v>537.95499999999993</v>
      </c>
      <c r="AF16" s="31"/>
      <c r="AG16" s="22"/>
      <c r="AH16" s="50">
        <f>+AE16/$AH$3</f>
        <v>4.4488749863718223E-2</v>
      </c>
      <c r="AI16" s="50"/>
      <c r="AJ16" s="22"/>
      <c r="AK16" s="22"/>
    </row>
    <row r="17" spans="2:37" ht="13.5" thickBot="1" x14ac:dyDescent="0.25">
      <c r="B17" s="142"/>
      <c r="C17" s="143"/>
      <c r="D17" s="99"/>
      <c r="E17" s="103"/>
      <c r="F17" s="104"/>
      <c r="G17" s="95"/>
      <c r="H17" s="95"/>
      <c r="I17" s="95"/>
      <c r="J17" s="95"/>
      <c r="K17" s="95"/>
      <c r="L17" s="95"/>
      <c r="M17" s="97"/>
      <c r="N17" s="152"/>
      <c r="O17" s="248"/>
      <c r="P17" s="95"/>
      <c r="Q17" s="288"/>
      <c r="R17" s="288"/>
      <c r="S17" s="288"/>
      <c r="T17" s="288"/>
      <c r="U17" s="288"/>
      <c r="V17" s="252"/>
      <c r="W17" s="243"/>
      <c r="X17" s="228"/>
      <c r="Y17" s="126"/>
      <c r="Z17" s="215"/>
      <c r="AA17" s="215"/>
      <c r="AB17" s="215"/>
      <c r="AC17" s="215"/>
      <c r="AD17" s="215"/>
      <c r="AE17" s="61"/>
      <c r="AF17" s="31"/>
      <c r="AG17" s="22"/>
      <c r="AH17" s="22"/>
      <c r="AI17" s="22"/>
      <c r="AJ17" s="22"/>
      <c r="AK17" s="22"/>
    </row>
    <row r="18" spans="2:37" ht="12.75" customHeight="1" x14ac:dyDescent="0.2">
      <c r="B18" s="142"/>
      <c r="C18" s="143"/>
      <c r="D18" s="99"/>
      <c r="E18" s="66" t="s">
        <v>103</v>
      </c>
      <c r="F18" s="87"/>
      <c r="G18" s="67"/>
      <c r="H18" s="68" t="str">
        <f>+TEXT(AF18,"# ##0")&amp;" kg"</f>
        <v>408 kg</v>
      </c>
      <c r="I18" s="67"/>
      <c r="J18" s="67"/>
      <c r="K18" s="69">
        <f t="shared" ref="K18:K23" si="1">+AH18</f>
        <v>3.3756388395632539E-2</v>
      </c>
      <c r="L18" s="70"/>
      <c r="M18" s="97"/>
      <c r="N18" s="152"/>
      <c r="O18" s="248"/>
      <c r="P18" s="217"/>
      <c r="Q18" s="277"/>
      <c r="R18" s="278"/>
      <c r="S18" s="289"/>
      <c r="T18" s="277"/>
      <c r="U18" s="277"/>
      <c r="V18" s="342">
        <v>3</v>
      </c>
      <c r="W18" s="241"/>
      <c r="X18" s="228"/>
      <c r="Y18" s="126"/>
      <c r="Z18" s="215"/>
      <c r="AA18" s="215"/>
      <c r="AB18" s="215"/>
      <c r="AC18" s="215"/>
      <c r="AD18" s="215"/>
      <c r="AE18" s="61"/>
      <c r="AF18" s="31">
        <f>+SUM(AE19:AE23)</f>
        <v>408.17999999999995</v>
      </c>
      <c r="AG18" s="22"/>
      <c r="AH18" s="65">
        <f>+AF18/$AH$3</f>
        <v>3.3756388395632539E-2</v>
      </c>
      <c r="AI18" s="65"/>
      <c r="AJ18" s="22"/>
      <c r="AK18" s="22"/>
    </row>
    <row r="19" spans="2:37" ht="12.75" customHeight="1" x14ac:dyDescent="0.2">
      <c r="B19" s="142"/>
      <c r="C19" s="143"/>
      <c r="D19" s="99"/>
      <c r="E19" s="71"/>
      <c r="F19" s="72" t="s">
        <v>26</v>
      </c>
      <c r="G19" s="73"/>
      <c r="H19" s="73"/>
      <c r="I19" s="73" t="str">
        <f>+TEXT(AE19,"# ##0")&amp;" kg"</f>
        <v>74 kg</v>
      </c>
      <c r="J19" s="73"/>
      <c r="K19" s="74">
        <f t="shared" si="1"/>
        <v>6.1528622094053137E-3</v>
      </c>
      <c r="L19" s="75"/>
      <c r="M19" s="97"/>
      <c r="N19" s="152"/>
      <c r="O19" s="248"/>
      <c r="P19" s="218"/>
      <c r="Q19" s="279">
        <f>1-(0.4*0.41)</f>
        <v>0.83599999999999997</v>
      </c>
      <c r="R19" s="280">
        <v>0</v>
      </c>
      <c r="S19" s="290">
        <f>1-SUM(Q19:R19)</f>
        <v>0.16400000000000003</v>
      </c>
      <c r="T19" s="281">
        <v>0.1</v>
      </c>
      <c r="U19" s="281">
        <f>+S19-T19</f>
        <v>6.4000000000000029E-2</v>
      </c>
      <c r="V19" s="343"/>
      <c r="W19" s="241"/>
      <c r="X19" s="228"/>
      <c r="Y19" s="126"/>
      <c r="Z19" s="215">
        <f t="shared" ref="Z19:AA23" si="2">+$AE19*Q19</f>
        <v>62.198399999999992</v>
      </c>
      <c r="AA19" s="215">
        <f t="shared" si="2"/>
        <v>0</v>
      </c>
      <c r="AB19" s="215"/>
      <c r="AC19" s="215">
        <f t="shared" ref="AC19:AD23" si="3">+$AE19*T19</f>
        <v>7.4399999999999995</v>
      </c>
      <c r="AD19" s="215">
        <f t="shared" si="3"/>
        <v>4.7616000000000014</v>
      </c>
      <c r="AE19" s="61">
        <f>+'calculs et données'!O31</f>
        <v>74.399999999999991</v>
      </c>
      <c r="AF19" s="31"/>
      <c r="AG19" s="22"/>
      <c r="AH19" s="50">
        <f>+AE19/$AH$3</f>
        <v>6.1528622094053137E-3</v>
      </c>
      <c r="AI19" s="50"/>
      <c r="AJ19" s="22"/>
      <c r="AK19" s="22"/>
    </row>
    <row r="20" spans="2:37" x14ac:dyDescent="0.2">
      <c r="B20" s="142"/>
      <c r="C20" s="143"/>
      <c r="D20" s="99"/>
      <c r="E20" s="71"/>
      <c r="F20" s="72" t="s">
        <v>114</v>
      </c>
      <c r="G20" s="73"/>
      <c r="H20" s="73"/>
      <c r="I20" s="73" t="str">
        <f>+TEXT(AE20,"# ##0")&amp;" kg"</f>
        <v>110 kg</v>
      </c>
      <c r="J20" s="73"/>
      <c r="K20" s="74">
        <f t="shared" si="1"/>
        <v>9.1019356823541508E-3</v>
      </c>
      <c r="L20" s="75"/>
      <c r="M20" s="97"/>
      <c r="N20" s="152"/>
      <c r="O20" s="248"/>
      <c r="P20" s="218"/>
      <c r="Q20" s="279">
        <f>1-(0.4*0.41)</f>
        <v>0.83599999999999997</v>
      </c>
      <c r="R20" s="280">
        <v>0</v>
      </c>
      <c r="S20" s="290">
        <f>1-SUM(Q20:R20)</f>
        <v>0.16400000000000003</v>
      </c>
      <c r="T20" s="281">
        <v>0.1</v>
      </c>
      <c r="U20" s="281">
        <f>+S20-T20</f>
        <v>6.4000000000000029E-2</v>
      </c>
      <c r="V20" s="343"/>
      <c r="W20" s="241"/>
      <c r="X20" s="228"/>
      <c r="Y20" s="126"/>
      <c r="Z20" s="215">
        <f t="shared" si="2"/>
        <v>92.010159999999985</v>
      </c>
      <c r="AA20" s="215">
        <f t="shared" si="2"/>
        <v>0</v>
      </c>
      <c r="AB20" s="215"/>
      <c r="AC20" s="215">
        <f t="shared" si="3"/>
        <v>11.006</v>
      </c>
      <c r="AD20" s="215">
        <f t="shared" si="3"/>
        <v>7.0438400000000021</v>
      </c>
      <c r="AE20" s="61">
        <f>+'calculs et données'!O32+'calculs et données'!O34</f>
        <v>110.05999999999999</v>
      </c>
      <c r="AF20" s="31"/>
      <c r="AG20" s="22"/>
      <c r="AH20" s="50">
        <f>+AE20/$AH$3</f>
        <v>9.1019356823541508E-3</v>
      </c>
      <c r="AI20" s="50"/>
      <c r="AJ20" s="22"/>
      <c r="AK20" s="22"/>
    </row>
    <row r="21" spans="2:37" x14ac:dyDescent="0.2">
      <c r="B21" s="142"/>
      <c r="C21" s="143"/>
      <c r="D21" s="99"/>
      <c r="E21" s="71"/>
      <c r="F21" s="72" t="s">
        <v>29</v>
      </c>
      <c r="G21" s="73"/>
      <c r="H21" s="73"/>
      <c r="I21" s="73" t="str">
        <f>+TEXT(AE21,"# ##0")&amp;" kg"</f>
        <v>120 kg</v>
      </c>
      <c r="J21" s="73"/>
      <c r="K21" s="74">
        <f t="shared" si="1"/>
        <v>9.923971305492444E-3</v>
      </c>
      <c r="L21" s="75"/>
      <c r="M21" s="97"/>
      <c r="N21" s="152"/>
      <c r="O21" s="248"/>
      <c r="P21" s="218"/>
      <c r="Q21" s="279">
        <f>1-(0.4*0.41)</f>
        <v>0.83599999999999997</v>
      </c>
      <c r="R21" s="280">
        <v>0</v>
      </c>
      <c r="S21" s="290">
        <f>1-SUM(Q21:R21)</f>
        <v>0.16400000000000003</v>
      </c>
      <c r="T21" s="281">
        <v>0.1</v>
      </c>
      <c r="U21" s="281">
        <f>+S21-T21</f>
        <v>6.4000000000000029E-2</v>
      </c>
      <c r="V21" s="343"/>
      <c r="W21" s="241"/>
      <c r="X21" s="228"/>
      <c r="Y21" s="126"/>
      <c r="Z21" s="215">
        <f t="shared" si="2"/>
        <v>100.32</v>
      </c>
      <c r="AA21" s="215">
        <f t="shared" si="2"/>
        <v>0</v>
      </c>
      <c r="AB21" s="215"/>
      <c r="AC21" s="215">
        <f t="shared" si="3"/>
        <v>12</v>
      </c>
      <c r="AD21" s="215">
        <f t="shared" si="3"/>
        <v>7.6800000000000033</v>
      </c>
      <c r="AE21" s="61">
        <f>+'calculs et données'!O33</f>
        <v>120</v>
      </c>
      <c r="AF21" s="31"/>
      <c r="AG21" s="22"/>
      <c r="AH21" s="50">
        <f>+AE21/$AH$3</f>
        <v>9.923971305492444E-3</v>
      </c>
      <c r="AI21" s="50"/>
      <c r="AJ21" s="22"/>
      <c r="AK21" s="22"/>
    </row>
    <row r="22" spans="2:37" x14ac:dyDescent="0.2">
      <c r="B22" s="142"/>
      <c r="C22" s="143"/>
      <c r="D22" s="99"/>
      <c r="E22" s="71"/>
      <c r="F22" s="72" t="s">
        <v>32</v>
      </c>
      <c r="G22" s="73"/>
      <c r="H22" s="73"/>
      <c r="I22" s="73" t="str">
        <f>+TEXT(AE22,"# ##0")&amp;" kg"</f>
        <v>76 kg</v>
      </c>
      <c r="J22" s="73"/>
      <c r="K22" s="74">
        <f t="shared" si="1"/>
        <v>6.285181826811881E-3</v>
      </c>
      <c r="L22" s="75"/>
      <c r="M22" s="97"/>
      <c r="N22" s="152"/>
      <c r="O22" s="248"/>
      <c r="P22" s="218"/>
      <c r="Q22" s="279">
        <f>1-(0.4*0.41)</f>
        <v>0.83599999999999997</v>
      </c>
      <c r="R22" s="280">
        <v>0</v>
      </c>
      <c r="S22" s="290">
        <f>1-SUM(Q22:R22)</f>
        <v>0.16400000000000003</v>
      </c>
      <c r="T22" s="281">
        <v>0.1</v>
      </c>
      <c r="U22" s="281">
        <f>+S22-T22</f>
        <v>6.4000000000000029E-2</v>
      </c>
      <c r="V22" s="343"/>
      <c r="W22" s="241"/>
      <c r="X22" s="228"/>
      <c r="Y22" s="126"/>
      <c r="Z22" s="215">
        <f t="shared" si="2"/>
        <v>63.535999999999994</v>
      </c>
      <c r="AA22" s="215">
        <f t="shared" si="2"/>
        <v>0</v>
      </c>
      <c r="AB22" s="215"/>
      <c r="AC22" s="215">
        <f t="shared" si="3"/>
        <v>7.6000000000000005</v>
      </c>
      <c r="AD22" s="215">
        <f t="shared" si="3"/>
        <v>4.8640000000000025</v>
      </c>
      <c r="AE22" s="61">
        <f>+'calculs et données'!O35</f>
        <v>76</v>
      </c>
      <c r="AF22" s="31"/>
      <c r="AG22" s="22"/>
      <c r="AH22" s="50">
        <f>+AE22/$AH$3</f>
        <v>6.285181826811881E-3</v>
      </c>
      <c r="AI22" s="50"/>
      <c r="AJ22" s="22"/>
      <c r="AK22" s="22"/>
    </row>
    <row r="23" spans="2:37" ht="13.5" thickBot="1" x14ac:dyDescent="0.25">
      <c r="B23" s="142"/>
      <c r="C23" s="143"/>
      <c r="D23" s="99"/>
      <c r="E23" s="76"/>
      <c r="F23" s="77" t="s">
        <v>33</v>
      </c>
      <c r="G23" s="78"/>
      <c r="H23" s="78"/>
      <c r="I23" s="78" t="str">
        <f>+TEXT(AE23,"# ##0")&amp;" kg"</f>
        <v>28 kg</v>
      </c>
      <c r="J23" s="78"/>
      <c r="K23" s="79">
        <f t="shared" si="1"/>
        <v>2.2924373715687541E-3</v>
      </c>
      <c r="L23" s="80"/>
      <c r="M23" s="97"/>
      <c r="N23" s="152"/>
      <c r="O23" s="248"/>
      <c r="P23" s="219"/>
      <c r="Q23" s="283">
        <f>1-(0.4*0.41)</f>
        <v>0.83599999999999997</v>
      </c>
      <c r="R23" s="284">
        <v>0</v>
      </c>
      <c r="S23" s="291">
        <f>1-SUM(Q23:R23)</f>
        <v>0.16400000000000003</v>
      </c>
      <c r="T23" s="285">
        <v>0.1</v>
      </c>
      <c r="U23" s="285">
        <f>+S23-T23</f>
        <v>6.4000000000000029E-2</v>
      </c>
      <c r="V23" s="344"/>
      <c r="W23" s="241"/>
      <c r="X23" s="228"/>
      <c r="Y23" s="126"/>
      <c r="Z23" s="215">
        <f t="shared" si="2"/>
        <v>23.173919999999999</v>
      </c>
      <c r="AA23" s="215">
        <f t="shared" si="2"/>
        <v>0</v>
      </c>
      <c r="AB23" s="215"/>
      <c r="AC23" s="215">
        <f t="shared" si="3"/>
        <v>2.7720000000000002</v>
      </c>
      <c r="AD23" s="215">
        <f t="shared" si="3"/>
        <v>1.7740800000000008</v>
      </c>
      <c r="AE23" s="61">
        <f>+'calculs et données'!O36</f>
        <v>27.72</v>
      </c>
      <c r="AF23" s="31"/>
      <c r="AG23" s="22"/>
      <c r="AH23" s="50">
        <f>+AE23/$AH$3</f>
        <v>2.2924373715687541E-3</v>
      </c>
      <c r="AI23" s="50"/>
      <c r="AJ23" s="22"/>
      <c r="AK23" s="22"/>
    </row>
    <row r="24" spans="2:37" ht="13.5" thickBot="1" x14ac:dyDescent="0.25">
      <c r="B24" s="142"/>
      <c r="C24" s="143"/>
      <c r="D24" s="99"/>
      <c r="E24" s="103"/>
      <c r="F24" s="104"/>
      <c r="G24" s="95"/>
      <c r="H24" s="95"/>
      <c r="I24" s="95"/>
      <c r="J24" s="95"/>
      <c r="K24" s="95"/>
      <c r="L24" s="95"/>
      <c r="M24" s="97"/>
      <c r="N24" s="152"/>
      <c r="O24" s="248"/>
      <c r="P24" s="95"/>
      <c r="Q24" s="288"/>
      <c r="R24" s="288"/>
      <c r="S24" s="288"/>
      <c r="T24" s="288"/>
      <c r="U24" s="288"/>
      <c r="V24" s="251"/>
      <c r="W24" s="244"/>
      <c r="X24" s="228"/>
      <c r="Y24" s="126"/>
      <c r="Z24" s="215"/>
      <c r="AA24" s="215"/>
      <c r="AB24" s="215"/>
      <c r="AC24" s="215"/>
      <c r="AD24" s="215"/>
      <c r="AE24" s="61"/>
      <c r="AF24" s="31"/>
      <c r="AG24" s="22"/>
      <c r="AH24" s="22"/>
      <c r="AI24" s="22"/>
      <c r="AJ24" s="22"/>
      <c r="AK24" s="22"/>
    </row>
    <row r="25" spans="2:37" ht="12.75" customHeight="1" x14ac:dyDescent="0.2">
      <c r="B25" s="142"/>
      <c r="C25" s="143"/>
      <c r="D25" s="99"/>
      <c r="E25" s="66" t="s">
        <v>120</v>
      </c>
      <c r="F25" s="87"/>
      <c r="G25" s="67"/>
      <c r="H25" s="68" t="str">
        <f>+TEXT(AF25,"# ##0")&amp;" kg"</f>
        <v>1 144 kg</v>
      </c>
      <c r="I25" s="67"/>
      <c r="J25" s="67"/>
      <c r="K25" s="69">
        <f t="shared" ref="K25:K30" si="4">+AH25</f>
        <v>9.4583716517430902E-2</v>
      </c>
      <c r="L25" s="70"/>
      <c r="M25" s="97"/>
      <c r="N25" s="152"/>
      <c r="O25" s="248"/>
      <c r="P25" s="217"/>
      <c r="Q25" s="277"/>
      <c r="R25" s="278"/>
      <c r="S25" s="289"/>
      <c r="T25" s="277"/>
      <c r="U25" s="277"/>
      <c r="V25" s="349">
        <v>4</v>
      </c>
      <c r="W25" s="245"/>
      <c r="X25" s="228"/>
      <c r="Y25" s="126"/>
      <c r="Z25" s="215"/>
      <c r="AA25" s="215"/>
      <c r="AB25" s="215"/>
      <c r="AC25" s="215"/>
      <c r="AD25" s="215"/>
      <c r="AE25" s="61"/>
      <c r="AF25" s="31">
        <f>+SUM(AE26:AE30)</f>
        <v>1143.7</v>
      </c>
      <c r="AG25" s="22"/>
      <c r="AH25" s="65">
        <f>+AF25/$AH$3</f>
        <v>9.4583716517430902E-2</v>
      </c>
      <c r="AI25" s="65"/>
      <c r="AJ25" s="22"/>
      <c r="AK25" s="22"/>
    </row>
    <row r="26" spans="2:37" ht="12.75" customHeight="1" x14ac:dyDescent="0.2">
      <c r="B26" s="142"/>
      <c r="C26" s="143"/>
      <c r="D26" s="99"/>
      <c r="E26" s="71"/>
      <c r="F26" s="72" t="s">
        <v>106</v>
      </c>
      <c r="G26" s="73"/>
      <c r="H26" s="73"/>
      <c r="I26" s="73" t="str">
        <f>+TEXT(AE26,"# ##0")&amp;" kg"</f>
        <v>168 kg</v>
      </c>
      <c r="J26" s="73"/>
      <c r="K26" s="74">
        <f t="shared" si="4"/>
        <v>1.3918369755953151E-2</v>
      </c>
      <c r="L26" s="75"/>
      <c r="M26" s="97"/>
      <c r="N26" s="152"/>
      <c r="O26" s="248"/>
      <c r="P26" s="218"/>
      <c r="Q26" s="279">
        <f>1-(0.4*0.65)</f>
        <v>0.74</v>
      </c>
      <c r="R26" s="280">
        <v>0</v>
      </c>
      <c r="S26" s="290">
        <f>1-SUM(Q26:R26)</f>
        <v>0.26</v>
      </c>
      <c r="T26" s="281">
        <v>0.2</v>
      </c>
      <c r="U26" s="281">
        <f>+S26-T26</f>
        <v>0.06</v>
      </c>
      <c r="V26" s="350"/>
      <c r="W26" s="245"/>
      <c r="X26" s="228"/>
      <c r="Y26" s="126"/>
      <c r="Z26" s="215">
        <f t="shared" ref="Z26:AA30" si="5">+$AE26*Q26</f>
        <v>124.54199999999999</v>
      </c>
      <c r="AA26" s="215">
        <f t="shared" si="5"/>
        <v>0</v>
      </c>
      <c r="AB26" s="215"/>
      <c r="AC26" s="215">
        <f t="shared" ref="AC26:AD30" si="6">+$AE26*T26</f>
        <v>33.659999999999997</v>
      </c>
      <c r="AD26" s="215">
        <f t="shared" si="6"/>
        <v>10.097999999999999</v>
      </c>
      <c r="AE26" s="61">
        <f>+'calculs et données'!O39</f>
        <v>168.29999999999998</v>
      </c>
      <c r="AF26" s="31"/>
      <c r="AG26" s="22"/>
      <c r="AH26" s="50">
        <f>+AE26/$AH$3</f>
        <v>1.3918369755953151E-2</v>
      </c>
      <c r="AI26" s="50"/>
      <c r="AJ26" s="22"/>
      <c r="AK26" s="22"/>
    </row>
    <row r="27" spans="2:37" x14ac:dyDescent="0.2">
      <c r="B27" s="142"/>
      <c r="C27" s="143"/>
      <c r="D27" s="99"/>
      <c r="E27" s="71"/>
      <c r="F27" s="72" t="s">
        <v>105</v>
      </c>
      <c r="G27" s="73"/>
      <c r="H27" s="73"/>
      <c r="I27" s="73" t="str">
        <f>+TEXT(AE27,"# ##0")&amp;" kg"</f>
        <v>650 kg</v>
      </c>
      <c r="J27" s="73"/>
      <c r="K27" s="74">
        <f t="shared" si="4"/>
        <v>5.3763114547505313E-2</v>
      </c>
      <c r="L27" s="75"/>
      <c r="M27" s="97"/>
      <c r="N27" s="152"/>
      <c r="O27" s="248"/>
      <c r="P27" s="218"/>
      <c r="Q27" s="279">
        <f>1-(0.66*0.65)</f>
        <v>0.57099999999999995</v>
      </c>
      <c r="R27" s="280">
        <v>0</v>
      </c>
      <c r="S27" s="290">
        <f>1-SUM(Q27:R27)</f>
        <v>0.42900000000000005</v>
      </c>
      <c r="T27" s="281">
        <v>0.3</v>
      </c>
      <c r="U27" s="281">
        <f>+S27-T27</f>
        <v>0.12900000000000006</v>
      </c>
      <c r="V27" s="350"/>
      <c r="W27" s="245"/>
      <c r="X27" s="228"/>
      <c r="Y27" s="126"/>
      <c r="Z27" s="215">
        <f t="shared" si="5"/>
        <v>371.20709999999997</v>
      </c>
      <c r="AA27" s="215">
        <f t="shared" si="5"/>
        <v>0</v>
      </c>
      <c r="AB27" s="215"/>
      <c r="AC27" s="215">
        <f t="shared" si="6"/>
        <v>195.03</v>
      </c>
      <c r="AD27" s="215">
        <f t="shared" si="6"/>
        <v>83.862900000000039</v>
      </c>
      <c r="AE27" s="61">
        <f>+'calculs et données'!O42+'calculs et données'!O43+'calculs et données'!O44</f>
        <v>650.1</v>
      </c>
      <c r="AF27" s="31"/>
      <c r="AG27" s="22"/>
      <c r="AH27" s="50">
        <f>+AE27/$AH$3</f>
        <v>5.3763114547505313E-2</v>
      </c>
      <c r="AI27" s="50"/>
      <c r="AJ27" s="22"/>
      <c r="AK27" s="22"/>
    </row>
    <row r="28" spans="2:37" x14ac:dyDescent="0.2">
      <c r="B28" s="142"/>
      <c r="C28" s="143"/>
      <c r="D28" s="99"/>
      <c r="E28" s="71"/>
      <c r="F28" s="72" t="s">
        <v>38</v>
      </c>
      <c r="G28" s="73"/>
      <c r="H28" s="73"/>
      <c r="I28" s="73" t="str">
        <f>+TEXT(AE28,"# ##0")&amp;" kg"</f>
        <v>199 kg</v>
      </c>
      <c r="J28" s="73"/>
      <c r="K28" s="74">
        <f t="shared" si="4"/>
        <v>1.6465522391029549E-2</v>
      </c>
      <c r="L28" s="75"/>
      <c r="M28" s="97"/>
      <c r="N28" s="152"/>
      <c r="O28" s="248"/>
      <c r="P28" s="218"/>
      <c r="Q28" s="279">
        <f>1-(0.66*0.65)</f>
        <v>0.57099999999999995</v>
      </c>
      <c r="R28" s="280">
        <v>0</v>
      </c>
      <c r="S28" s="290">
        <f>1-SUM(Q28:R28)</f>
        <v>0.42900000000000005</v>
      </c>
      <c r="T28" s="281">
        <v>0.3</v>
      </c>
      <c r="U28" s="281">
        <f>+S28-T28</f>
        <v>0.12900000000000006</v>
      </c>
      <c r="V28" s="350"/>
      <c r="W28" s="245"/>
      <c r="X28" s="228"/>
      <c r="Y28" s="126"/>
      <c r="Z28" s="215">
        <f t="shared" si="5"/>
        <v>113.68610000000001</v>
      </c>
      <c r="AA28" s="215">
        <f t="shared" si="5"/>
        <v>0</v>
      </c>
      <c r="AB28" s="215"/>
      <c r="AC28" s="215">
        <f t="shared" si="6"/>
        <v>59.730000000000004</v>
      </c>
      <c r="AD28" s="215">
        <f t="shared" si="6"/>
        <v>25.683900000000015</v>
      </c>
      <c r="AE28" s="61">
        <f>+'calculs et données'!O40</f>
        <v>199.10000000000002</v>
      </c>
      <c r="AF28" s="31"/>
      <c r="AG28" s="22"/>
      <c r="AH28" s="50">
        <f>+AE28/$AH$3</f>
        <v>1.6465522391029549E-2</v>
      </c>
      <c r="AI28" s="50"/>
      <c r="AJ28" s="22"/>
      <c r="AK28" s="22"/>
    </row>
    <row r="29" spans="2:37" x14ac:dyDescent="0.2">
      <c r="B29" s="142"/>
      <c r="C29" s="143"/>
      <c r="D29" s="99"/>
      <c r="E29" s="71"/>
      <c r="F29" s="72" t="s">
        <v>40</v>
      </c>
      <c r="G29" s="73"/>
      <c r="H29" s="73"/>
      <c r="I29" s="73" t="str">
        <f>+TEXT(AE29,"# ##0")&amp;" kg"</f>
        <v>109 kg</v>
      </c>
      <c r="J29" s="73"/>
      <c r="K29" s="74">
        <f t="shared" si="4"/>
        <v>9.0308138879981233E-3</v>
      </c>
      <c r="L29" s="75"/>
      <c r="M29" s="97"/>
      <c r="N29" s="152"/>
      <c r="O29" s="248"/>
      <c r="P29" s="218"/>
      <c r="Q29" s="279">
        <v>0.85</v>
      </c>
      <c r="R29" s="280">
        <v>0</v>
      </c>
      <c r="S29" s="290">
        <f>1-SUM(Q29:R29)</f>
        <v>0.15000000000000002</v>
      </c>
      <c r="T29" s="281">
        <v>0.1</v>
      </c>
      <c r="U29" s="281">
        <f>+S29-T29</f>
        <v>5.0000000000000017E-2</v>
      </c>
      <c r="V29" s="350"/>
      <c r="W29" s="245"/>
      <c r="X29" s="228"/>
      <c r="Y29" s="126"/>
      <c r="Z29" s="215">
        <f t="shared" si="5"/>
        <v>92.82</v>
      </c>
      <c r="AA29" s="215">
        <f t="shared" si="5"/>
        <v>0</v>
      </c>
      <c r="AB29" s="215"/>
      <c r="AC29" s="215">
        <f t="shared" si="6"/>
        <v>10.920000000000002</v>
      </c>
      <c r="AD29" s="215">
        <f t="shared" si="6"/>
        <v>5.4600000000000017</v>
      </c>
      <c r="AE29" s="61">
        <f>+'calculs et données'!O41</f>
        <v>109.2</v>
      </c>
      <c r="AF29" s="31"/>
      <c r="AG29" s="22"/>
      <c r="AH29" s="50">
        <f>+AE29/$AH$3</f>
        <v>9.0308138879981233E-3</v>
      </c>
      <c r="AI29" s="50"/>
      <c r="AJ29" s="22"/>
      <c r="AK29" s="22"/>
    </row>
    <row r="30" spans="2:37" ht="13.5" thickBot="1" x14ac:dyDescent="0.25">
      <c r="B30" s="142"/>
      <c r="C30" s="143"/>
      <c r="D30" s="99"/>
      <c r="E30" s="76"/>
      <c r="F30" s="77" t="s">
        <v>44</v>
      </c>
      <c r="G30" s="78"/>
      <c r="H30" s="78"/>
      <c r="I30" s="78" t="str">
        <f>+TEXT(AE30,"# ##0")&amp;" kg"</f>
        <v>17 kg</v>
      </c>
      <c r="J30" s="78"/>
      <c r="K30" s="79">
        <f t="shared" si="4"/>
        <v>1.4058959349447628E-3</v>
      </c>
      <c r="L30" s="80"/>
      <c r="M30" s="97"/>
      <c r="N30" s="152"/>
      <c r="O30" s="248"/>
      <c r="P30" s="219"/>
      <c r="Q30" s="283">
        <f>1-(0.66*0.65)</f>
        <v>0.57099999999999995</v>
      </c>
      <c r="R30" s="284">
        <v>0</v>
      </c>
      <c r="S30" s="291">
        <f>1-SUM(Q30:R30)</f>
        <v>0.42900000000000005</v>
      </c>
      <c r="T30" s="285">
        <v>0.3</v>
      </c>
      <c r="U30" s="285">
        <f>+S30-T30</f>
        <v>0.12900000000000006</v>
      </c>
      <c r="V30" s="351"/>
      <c r="W30" s="245"/>
      <c r="X30" s="228"/>
      <c r="Y30" s="126"/>
      <c r="Z30" s="215">
        <f t="shared" si="5"/>
        <v>9.706999999999999</v>
      </c>
      <c r="AA30" s="215">
        <f t="shared" si="5"/>
        <v>0</v>
      </c>
      <c r="AB30" s="215"/>
      <c r="AC30" s="215">
        <f t="shared" si="6"/>
        <v>5.0999999999999996</v>
      </c>
      <c r="AD30" s="215">
        <f t="shared" si="6"/>
        <v>2.1930000000000009</v>
      </c>
      <c r="AE30" s="61">
        <f>+'calculs et données'!O45</f>
        <v>17</v>
      </c>
      <c r="AF30" s="31"/>
      <c r="AG30" s="22"/>
      <c r="AH30" s="50">
        <f>+AE30/$AH$3</f>
        <v>1.4058959349447628E-3</v>
      </c>
      <c r="AI30" s="50"/>
      <c r="AJ30" s="22"/>
      <c r="AK30" s="22"/>
    </row>
    <row r="31" spans="2:37" ht="13.5" thickBot="1" x14ac:dyDescent="0.25">
      <c r="B31" s="142"/>
      <c r="C31" s="143"/>
      <c r="D31" s="100"/>
      <c r="E31" s="101"/>
      <c r="F31" s="101"/>
      <c r="G31" s="101"/>
      <c r="H31" s="101"/>
      <c r="I31" s="101"/>
      <c r="J31" s="101"/>
      <c r="K31" s="101"/>
      <c r="L31" s="101"/>
      <c r="M31" s="102"/>
      <c r="N31" s="152"/>
      <c r="O31" s="235"/>
      <c r="P31" s="236"/>
      <c r="Q31" s="292"/>
      <c r="R31" s="292"/>
      <c r="S31" s="292"/>
      <c r="T31" s="292"/>
      <c r="U31" s="292"/>
      <c r="V31" s="237"/>
      <c r="W31" s="238"/>
      <c r="X31" s="228"/>
      <c r="Y31" s="126"/>
      <c r="Z31" s="215"/>
      <c r="AA31" s="215"/>
      <c r="AB31" s="215"/>
      <c r="AC31" s="215"/>
      <c r="AD31" s="215"/>
      <c r="AE31" s="61"/>
      <c r="AF31" s="31"/>
      <c r="AG31" s="22"/>
      <c r="AH31" s="50"/>
      <c r="AI31" s="50"/>
      <c r="AJ31" s="22"/>
      <c r="AK31" s="22"/>
    </row>
    <row r="32" spans="2:37" ht="14.25" thickTop="1" thickBot="1" x14ac:dyDescent="0.25">
      <c r="B32" s="142"/>
      <c r="C32" s="143"/>
      <c r="D32" s="157"/>
      <c r="E32" s="157"/>
      <c r="F32" s="158"/>
      <c r="G32" s="159"/>
      <c r="H32" s="159"/>
      <c r="I32" s="159"/>
      <c r="J32" s="159"/>
      <c r="K32" s="159"/>
      <c r="L32" s="159"/>
      <c r="M32" s="159"/>
      <c r="N32" s="152"/>
      <c r="O32" s="142"/>
      <c r="P32" s="151"/>
      <c r="Q32" s="293"/>
      <c r="R32" s="293"/>
      <c r="S32" s="293"/>
      <c r="T32" s="293"/>
      <c r="U32" s="293"/>
      <c r="V32" s="227"/>
      <c r="W32" s="227"/>
      <c r="X32" s="228"/>
      <c r="Y32" s="126"/>
      <c r="Z32" s="215"/>
      <c r="AA32" s="215"/>
      <c r="AB32" s="215"/>
      <c r="AC32" s="215"/>
      <c r="AD32" s="215"/>
      <c r="AE32" s="62"/>
      <c r="AF32" s="44"/>
      <c r="AG32" s="22"/>
      <c r="AH32" s="22"/>
      <c r="AI32" s="22"/>
      <c r="AJ32" s="22"/>
      <c r="AK32" s="22"/>
    </row>
    <row r="33" spans="2:37" ht="13.5" thickTop="1" x14ac:dyDescent="0.2">
      <c r="B33" s="142"/>
      <c r="C33" s="143"/>
      <c r="D33" s="105" t="s">
        <v>45</v>
      </c>
      <c r="E33" s="106"/>
      <c r="F33" s="107"/>
      <c r="G33" s="108" t="str">
        <f>+TEXT(AG33,"# ##0")&amp;" kg"</f>
        <v>2 626 kg</v>
      </c>
      <c r="H33" s="107"/>
      <c r="I33" s="107"/>
      <c r="J33" s="107"/>
      <c r="K33" s="109">
        <f>+AH33</f>
        <v>0.21713224628805988</v>
      </c>
      <c r="L33" s="90"/>
      <c r="M33" s="91"/>
      <c r="N33" s="152"/>
      <c r="O33" s="246"/>
      <c r="P33" s="247"/>
      <c r="Q33" s="294"/>
      <c r="R33" s="294"/>
      <c r="S33" s="294"/>
      <c r="T33" s="294"/>
      <c r="U33" s="294"/>
      <c r="V33" s="254"/>
      <c r="W33" s="255"/>
      <c r="X33" s="228"/>
      <c r="Y33" s="126"/>
      <c r="Z33" s="215"/>
      <c r="AA33" s="215"/>
      <c r="AB33" s="215"/>
      <c r="AC33" s="215"/>
      <c r="AD33" s="215"/>
      <c r="AE33" s="63"/>
      <c r="AF33" s="46"/>
      <c r="AG33" s="20">
        <f>+SUM(AE35:AE41)</f>
        <v>2625.5486591488338</v>
      </c>
      <c r="AH33" s="21">
        <f>+AG33/$AH$3</f>
        <v>0.21713224628805988</v>
      </c>
      <c r="AI33" s="21"/>
      <c r="AJ33" s="32"/>
      <c r="AK33" s="32"/>
    </row>
    <row r="34" spans="2:37" ht="13.5" thickBot="1" x14ac:dyDescent="0.25">
      <c r="B34" s="142"/>
      <c r="C34" s="143"/>
      <c r="D34" s="98"/>
      <c r="E34" s="103"/>
      <c r="F34" s="95"/>
      <c r="G34" s="94"/>
      <c r="H34" s="95"/>
      <c r="I34" s="95"/>
      <c r="J34" s="95"/>
      <c r="K34" s="95"/>
      <c r="L34" s="95"/>
      <c r="M34" s="97"/>
      <c r="N34" s="152"/>
      <c r="O34" s="248"/>
      <c r="P34" s="95"/>
      <c r="Q34" s="288"/>
      <c r="R34" s="288"/>
      <c r="S34" s="288"/>
      <c r="T34" s="288"/>
      <c r="U34" s="288"/>
      <c r="V34" s="251"/>
      <c r="W34" s="244"/>
      <c r="X34" s="228"/>
      <c r="Y34" s="126"/>
      <c r="Z34" s="215"/>
      <c r="AA34" s="215"/>
      <c r="AB34" s="215"/>
      <c r="AC34" s="215"/>
      <c r="AD34" s="215"/>
      <c r="AE34" s="61"/>
      <c r="AF34" s="31"/>
      <c r="AG34" s="20"/>
      <c r="AH34" s="21"/>
      <c r="AI34" s="21"/>
      <c r="AJ34" s="32"/>
      <c r="AK34" s="32"/>
    </row>
    <row r="35" spans="2:37" ht="13.5" thickBot="1" x14ac:dyDescent="0.25">
      <c r="B35" s="142"/>
      <c r="C35" s="143"/>
      <c r="D35" s="99"/>
      <c r="E35" s="81" t="s">
        <v>46</v>
      </c>
      <c r="F35" s="82"/>
      <c r="G35" s="83"/>
      <c r="H35" s="84" t="str">
        <f>+TEXT(AF35,"# ##0")&amp;" kg"</f>
        <v>763 kg</v>
      </c>
      <c r="I35" s="83"/>
      <c r="J35" s="83"/>
      <c r="K35" s="85">
        <f>+AH35</f>
        <v>6.3130268362998745E-2</v>
      </c>
      <c r="L35" s="86"/>
      <c r="M35" s="97"/>
      <c r="N35" s="152"/>
      <c r="O35" s="248"/>
      <c r="P35" s="220"/>
      <c r="Q35" s="295">
        <v>0.2</v>
      </c>
      <c r="R35" s="296"/>
      <c r="S35" s="297">
        <f>1-SUM(Q35:R35)</f>
        <v>0.8</v>
      </c>
      <c r="T35" s="298">
        <v>0.3</v>
      </c>
      <c r="U35" s="299">
        <f>+S35-T35</f>
        <v>0.5</v>
      </c>
      <c r="V35" s="274">
        <v>5</v>
      </c>
      <c r="W35" s="241"/>
      <c r="X35" s="228"/>
      <c r="Y35" s="126"/>
      <c r="Z35" s="215">
        <f>+$AE35*Q35</f>
        <v>152.67339999999999</v>
      </c>
      <c r="AA35" s="215">
        <f>+$AE35*R35</f>
        <v>0</v>
      </c>
      <c r="AB35" s="215"/>
      <c r="AC35" s="215">
        <f>+$AE35*T35</f>
        <v>229.01009999999999</v>
      </c>
      <c r="AD35" s="215">
        <f>+$AE35*U35</f>
        <v>381.68349999999998</v>
      </c>
      <c r="AE35" s="61">
        <f>+'calculs et données'!O49</f>
        <v>763.36699999999996</v>
      </c>
      <c r="AF35" s="31">
        <f>+AE35</f>
        <v>763.36699999999996</v>
      </c>
      <c r="AG35" s="22"/>
      <c r="AH35" s="50">
        <f>+AE35/$AH$3</f>
        <v>6.3130268362998745E-2</v>
      </c>
      <c r="AI35" s="50"/>
      <c r="AJ35" s="22"/>
      <c r="AK35" s="22"/>
    </row>
    <row r="36" spans="2:37" ht="13.5" thickBot="1" x14ac:dyDescent="0.25">
      <c r="B36" s="142"/>
      <c r="C36" s="143"/>
      <c r="D36" s="99"/>
      <c r="E36" s="103"/>
      <c r="F36" s="104"/>
      <c r="G36" s="95"/>
      <c r="H36" s="103"/>
      <c r="I36" s="95"/>
      <c r="J36" s="95"/>
      <c r="K36" s="96"/>
      <c r="L36" s="95"/>
      <c r="M36" s="97"/>
      <c r="N36" s="152"/>
      <c r="O36" s="248"/>
      <c r="P36" s="95"/>
      <c r="Q36" s="288"/>
      <c r="R36" s="288"/>
      <c r="S36" s="288"/>
      <c r="T36" s="288"/>
      <c r="U36" s="288"/>
      <c r="V36" s="252"/>
      <c r="W36" s="243"/>
      <c r="X36" s="228"/>
      <c r="Y36" s="126"/>
      <c r="Z36" s="215"/>
      <c r="AA36" s="215"/>
      <c r="AB36" s="215"/>
      <c r="AC36" s="215"/>
      <c r="AD36" s="215"/>
      <c r="AE36" s="61"/>
      <c r="AF36" s="31"/>
      <c r="AG36" s="22"/>
      <c r="AH36" s="50"/>
      <c r="AI36" s="50"/>
      <c r="AJ36" s="22"/>
      <c r="AK36" s="22"/>
    </row>
    <row r="37" spans="2:37" x14ac:dyDescent="0.2">
      <c r="B37" s="142"/>
      <c r="C37" s="143"/>
      <c r="D37" s="99"/>
      <c r="E37" s="66" t="s">
        <v>123</v>
      </c>
      <c r="F37" s="67"/>
      <c r="G37" s="67"/>
      <c r="H37" s="68" t="str">
        <f>+TEXT(AF37,"# ##0")&amp;" kg"</f>
        <v>1 716 kg</v>
      </c>
      <c r="I37" s="67"/>
      <c r="J37" s="67"/>
      <c r="K37" s="69">
        <f>+AH37</f>
        <v>0.14193144673459629</v>
      </c>
      <c r="L37" s="70"/>
      <c r="M37" s="97"/>
      <c r="N37" s="152"/>
      <c r="O37" s="248"/>
      <c r="P37" s="217"/>
      <c r="Q37" s="277"/>
      <c r="R37" s="277"/>
      <c r="S37" s="300"/>
      <c r="T37" s="301"/>
      <c r="U37" s="302"/>
      <c r="V37" s="339">
        <v>6</v>
      </c>
      <c r="W37" s="243"/>
      <c r="X37" s="228"/>
      <c r="Y37" s="126"/>
      <c r="Z37" s="215"/>
      <c r="AA37" s="215"/>
      <c r="AB37" s="215"/>
      <c r="AC37" s="215"/>
      <c r="AD37" s="215"/>
      <c r="AE37" s="61"/>
      <c r="AF37" s="31">
        <f>+SUM(AE38:AE40)</f>
        <v>1716.2256000000002</v>
      </c>
      <c r="AG37" s="49"/>
      <c r="AH37" s="65">
        <f>+AF37/$AH$3</f>
        <v>0.14193144673459629</v>
      </c>
      <c r="AI37" s="65"/>
      <c r="AJ37" s="32"/>
      <c r="AK37" s="32"/>
    </row>
    <row r="38" spans="2:37" x14ac:dyDescent="0.2">
      <c r="B38" s="142"/>
      <c r="C38" s="143"/>
      <c r="D38" s="99"/>
      <c r="E38" s="71"/>
      <c r="F38" s="72" t="s">
        <v>108</v>
      </c>
      <c r="G38" s="73"/>
      <c r="H38" s="73"/>
      <c r="I38" s="73" t="str">
        <f>+TEXT(AE38,"# ##0")&amp;" kg"</f>
        <v>1 034 kg</v>
      </c>
      <c r="J38" s="73"/>
      <c r="K38" s="74">
        <f>+AH38</f>
        <v>8.5493028002556301E-2</v>
      </c>
      <c r="L38" s="75"/>
      <c r="M38" s="97"/>
      <c r="N38" s="152"/>
      <c r="O38" s="248"/>
      <c r="P38" s="218"/>
      <c r="Q38" s="279">
        <v>0</v>
      </c>
      <c r="R38" s="279">
        <v>0.15</v>
      </c>
      <c r="S38" s="290">
        <f>1-SUM(Q38:R38)</f>
        <v>0.85</v>
      </c>
      <c r="T38" s="281">
        <v>0.3</v>
      </c>
      <c r="U38" s="282">
        <f>+S38-T38</f>
        <v>0.55000000000000004</v>
      </c>
      <c r="V38" s="340"/>
      <c r="W38" s="241"/>
      <c r="X38" s="228"/>
      <c r="Y38" s="126"/>
      <c r="Z38" s="215">
        <f t="shared" ref="Z38:AA41" si="7">+$AE38*Q38</f>
        <v>0</v>
      </c>
      <c r="AA38" s="215">
        <f t="shared" si="7"/>
        <v>155.06640000000002</v>
      </c>
      <c r="AB38" s="215"/>
      <c r="AC38" s="215">
        <f t="shared" ref="AC38:AD41" si="8">+$AE38*T38</f>
        <v>310.13280000000003</v>
      </c>
      <c r="AD38" s="215">
        <f t="shared" si="8"/>
        <v>568.57680000000005</v>
      </c>
      <c r="AE38" s="61">
        <f>+'calculs et données'!O52</f>
        <v>1033.7760000000001</v>
      </c>
      <c r="AF38" s="31"/>
      <c r="AG38" s="22"/>
      <c r="AH38" s="50">
        <f>+AE38/$AH$3</f>
        <v>8.5493028002556301E-2</v>
      </c>
      <c r="AI38" s="50"/>
      <c r="AJ38" s="22"/>
      <c r="AK38" s="22"/>
    </row>
    <row r="39" spans="2:37" x14ac:dyDescent="0.2">
      <c r="B39" s="142"/>
      <c r="C39" s="143"/>
      <c r="D39" s="99"/>
      <c r="E39" s="71"/>
      <c r="F39" s="72" t="s">
        <v>57</v>
      </c>
      <c r="G39" s="73"/>
      <c r="H39" s="73"/>
      <c r="I39" s="73" t="str">
        <f>+TEXT(AE39,"# ##0")&amp;" kg"</f>
        <v>532 kg</v>
      </c>
      <c r="J39" s="73"/>
      <c r="K39" s="74">
        <f>+AH39</f>
        <v>4.3970685481667174E-2</v>
      </c>
      <c r="L39" s="75"/>
      <c r="M39" s="97"/>
      <c r="N39" s="152"/>
      <c r="O39" s="248"/>
      <c r="P39" s="218"/>
      <c r="Q39" s="279">
        <v>0</v>
      </c>
      <c r="R39" s="279">
        <v>0.15</v>
      </c>
      <c r="S39" s="290">
        <f>1-SUM(Q39:R39)</f>
        <v>0.85</v>
      </c>
      <c r="T39" s="281">
        <v>0.3</v>
      </c>
      <c r="U39" s="282">
        <f>+S39-T39</f>
        <v>0.55000000000000004</v>
      </c>
      <c r="V39" s="340"/>
      <c r="W39" s="241"/>
      <c r="X39" s="228"/>
      <c r="Y39" s="126"/>
      <c r="Z39" s="215">
        <f t="shared" si="7"/>
        <v>0</v>
      </c>
      <c r="AA39" s="215">
        <f t="shared" si="7"/>
        <v>79.753590000000003</v>
      </c>
      <c r="AB39" s="215"/>
      <c r="AC39" s="215">
        <f t="shared" si="8"/>
        <v>159.50718000000001</v>
      </c>
      <c r="AD39" s="215">
        <f t="shared" si="8"/>
        <v>292.42983000000004</v>
      </c>
      <c r="AE39" s="61">
        <f>+'calculs et données'!O58</f>
        <v>531.69060000000002</v>
      </c>
      <c r="AF39" s="31"/>
      <c r="AG39" s="22"/>
      <c r="AH39" s="50">
        <f>+AE39/$AH$3</f>
        <v>4.3970685481667174E-2</v>
      </c>
      <c r="AI39" s="50"/>
      <c r="AJ39" s="22"/>
      <c r="AK39" s="22"/>
    </row>
    <row r="40" spans="2:37" x14ac:dyDescent="0.2">
      <c r="B40" s="142"/>
      <c r="C40" s="143"/>
      <c r="D40" s="99"/>
      <c r="E40" s="71"/>
      <c r="F40" s="189" t="s">
        <v>110</v>
      </c>
      <c r="G40" s="73"/>
      <c r="H40" s="73"/>
      <c r="I40" s="73" t="str">
        <f>+TEXT(AE40,"# ##0")&amp;" kg"</f>
        <v>151 kg</v>
      </c>
      <c r="J40" s="73"/>
      <c r="K40" s="74">
        <f>+AH40</f>
        <v>1.2467733250372792E-2</v>
      </c>
      <c r="L40" s="75"/>
      <c r="M40" s="97"/>
      <c r="N40" s="152"/>
      <c r="O40" s="248"/>
      <c r="P40" s="218"/>
      <c r="Q40" s="279">
        <v>0</v>
      </c>
      <c r="R40" s="279">
        <v>0.15</v>
      </c>
      <c r="S40" s="290">
        <f>1-SUM(Q40:R40)</f>
        <v>0.85</v>
      </c>
      <c r="T40" s="281">
        <v>0.3</v>
      </c>
      <c r="U40" s="282">
        <f>+S40-T40</f>
        <v>0.55000000000000004</v>
      </c>
      <c r="V40" s="340"/>
      <c r="W40" s="241"/>
      <c r="X40" s="228"/>
      <c r="Y40" s="126"/>
      <c r="Z40" s="215">
        <f t="shared" si="7"/>
        <v>0</v>
      </c>
      <c r="AA40" s="215">
        <f t="shared" si="7"/>
        <v>22.613849999999996</v>
      </c>
      <c r="AB40" s="215"/>
      <c r="AC40" s="215">
        <f t="shared" si="8"/>
        <v>45.227699999999992</v>
      </c>
      <c r="AD40" s="215">
        <f t="shared" si="8"/>
        <v>82.917450000000002</v>
      </c>
      <c r="AE40" s="61">
        <f>+SUM('calculs et données'!O54:O57)</f>
        <v>150.75899999999999</v>
      </c>
      <c r="AF40" s="31"/>
      <c r="AG40" s="22"/>
      <c r="AH40" s="50">
        <f>+AE40/$AH$3</f>
        <v>1.2467733250372792E-2</v>
      </c>
      <c r="AI40" s="50"/>
      <c r="AJ40" s="22"/>
      <c r="AK40" s="22"/>
    </row>
    <row r="41" spans="2:37" ht="13.5" thickBot="1" x14ac:dyDescent="0.25">
      <c r="B41" s="142"/>
      <c r="C41" s="143"/>
      <c r="D41" s="99"/>
      <c r="E41" s="76"/>
      <c r="F41" s="191" t="s">
        <v>166</v>
      </c>
      <c r="G41" s="78"/>
      <c r="H41" s="78"/>
      <c r="I41" s="78" t="str">
        <f>+TEXT(AE41,"# ##0")&amp;" kg"</f>
        <v>146 kg</v>
      </c>
      <c r="J41" s="78"/>
      <c r="K41" s="79">
        <f>+AH41</f>
        <v>1.2070531190464874E-2</v>
      </c>
      <c r="L41" s="80"/>
      <c r="M41" s="97"/>
      <c r="N41" s="152"/>
      <c r="O41" s="248"/>
      <c r="P41" s="219"/>
      <c r="Q41" s="283">
        <v>0</v>
      </c>
      <c r="R41" s="283">
        <v>0.15</v>
      </c>
      <c r="S41" s="291">
        <f>1-SUM(Q41:R41)</f>
        <v>0.85</v>
      </c>
      <c r="T41" s="285">
        <v>0.3</v>
      </c>
      <c r="U41" s="286">
        <f>+S41-T41</f>
        <v>0.55000000000000004</v>
      </c>
      <c r="V41" s="341"/>
      <c r="W41" s="241"/>
      <c r="X41" s="228"/>
      <c r="Y41" s="126"/>
      <c r="Z41" s="215">
        <f t="shared" si="7"/>
        <v>0</v>
      </c>
      <c r="AA41" s="215">
        <f t="shared" si="7"/>
        <v>21.893408872325075</v>
      </c>
      <c r="AB41" s="215"/>
      <c r="AC41" s="215">
        <f t="shared" si="8"/>
        <v>43.786817744650151</v>
      </c>
      <c r="AD41" s="215">
        <f t="shared" si="8"/>
        <v>80.275832531858626</v>
      </c>
      <c r="AE41" s="61">
        <f>+'calculs et données'!O59</f>
        <v>145.95605914883384</v>
      </c>
      <c r="AF41" s="31"/>
      <c r="AG41" s="22"/>
      <c r="AH41" s="50">
        <f>+AE41/$AH$3</f>
        <v>1.2070531190464874E-2</v>
      </c>
      <c r="AI41" s="50"/>
      <c r="AJ41" s="22"/>
      <c r="AK41" s="22"/>
    </row>
    <row r="42" spans="2:37" ht="13.5" thickBot="1" x14ac:dyDescent="0.25">
      <c r="B42" s="142"/>
      <c r="C42" s="143"/>
      <c r="D42" s="117"/>
      <c r="E42" s="118"/>
      <c r="F42" s="119"/>
      <c r="G42" s="120"/>
      <c r="H42" s="120"/>
      <c r="I42" s="120"/>
      <c r="J42" s="120"/>
      <c r="K42" s="120"/>
      <c r="L42" s="120"/>
      <c r="M42" s="121"/>
      <c r="N42" s="152"/>
      <c r="O42" s="235"/>
      <c r="P42" s="236"/>
      <c r="Q42" s="292"/>
      <c r="R42" s="292"/>
      <c r="S42" s="292"/>
      <c r="T42" s="292"/>
      <c r="U42" s="292"/>
      <c r="V42" s="256"/>
      <c r="W42" s="257"/>
      <c r="X42" s="228"/>
      <c r="Y42" s="126"/>
      <c r="Z42" s="215"/>
      <c r="AA42" s="215"/>
      <c r="AB42" s="215"/>
      <c r="AC42" s="215"/>
      <c r="AD42" s="215"/>
      <c r="AF42" s="44"/>
      <c r="AG42" s="22"/>
      <c r="AH42" s="22"/>
      <c r="AI42" s="22"/>
      <c r="AJ42" s="22"/>
      <c r="AK42" s="22"/>
    </row>
    <row r="43" spans="2:37" ht="14.25" thickTop="1" thickBot="1" x14ac:dyDescent="0.25">
      <c r="B43" s="142"/>
      <c r="C43" s="143"/>
      <c r="D43" s="150"/>
      <c r="E43" s="150"/>
      <c r="F43" s="160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232"/>
      <c r="R43" s="232"/>
      <c r="S43" s="232"/>
      <c r="T43" s="232"/>
      <c r="U43" s="232"/>
      <c r="V43" s="151"/>
      <c r="W43" s="151"/>
      <c r="X43" s="228"/>
      <c r="Y43" s="126"/>
      <c r="Z43" s="215"/>
      <c r="AA43" s="215"/>
      <c r="AB43" s="215"/>
      <c r="AC43" s="215"/>
      <c r="AD43" s="215"/>
      <c r="AE43" s="61"/>
      <c r="AF43" s="31"/>
      <c r="AG43" s="22"/>
      <c r="AH43" s="22"/>
      <c r="AI43" s="22"/>
      <c r="AJ43" s="22"/>
      <c r="AK43" s="22"/>
    </row>
    <row r="44" spans="2:37" ht="13.5" thickTop="1" x14ac:dyDescent="0.2">
      <c r="B44" s="142"/>
      <c r="C44" s="143"/>
      <c r="D44" s="105" t="s">
        <v>59</v>
      </c>
      <c r="E44" s="106"/>
      <c r="F44" s="107"/>
      <c r="G44" s="108" t="str">
        <f>+TEXT(AG44,"# ##0")&amp;" kg"</f>
        <v>2 919 kg</v>
      </c>
      <c r="H44" s="107"/>
      <c r="I44" s="107"/>
      <c r="J44" s="107"/>
      <c r="K44" s="109">
        <f>+AH44</f>
        <v>0.24144006633199522</v>
      </c>
      <c r="L44" s="107"/>
      <c r="M44" s="91"/>
      <c r="N44" s="152"/>
      <c r="O44" s="246"/>
      <c r="P44" s="247"/>
      <c r="Q44" s="294"/>
      <c r="R44" s="294"/>
      <c r="S44" s="294"/>
      <c r="T44" s="294"/>
      <c r="U44" s="294"/>
      <c r="V44" s="254"/>
      <c r="W44" s="255"/>
      <c r="X44" s="228"/>
      <c r="Y44" s="126"/>
      <c r="Z44" s="215"/>
      <c r="AA44" s="215"/>
      <c r="AB44" s="215"/>
      <c r="AC44" s="215"/>
      <c r="AD44" s="215"/>
      <c r="AE44" s="63"/>
      <c r="AF44" s="46"/>
      <c r="AG44" s="49">
        <f>+SUM(AE46:AE56)</f>
        <v>2919.4772000000003</v>
      </c>
      <c r="AH44" s="21">
        <f>+AG44/$AH$3</f>
        <v>0.24144006633199522</v>
      </c>
      <c r="AI44" s="21"/>
      <c r="AJ44" s="22"/>
      <c r="AK44" s="22"/>
    </row>
    <row r="45" spans="2:37" ht="13.5" thickBot="1" x14ac:dyDescent="0.25">
      <c r="B45" s="142"/>
      <c r="C45" s="143"/>
      <c r="D45" s="98"/>
      <c r="E45" s="103"/>
      <c r="F45" s="95"/>
      <c r="G45" s="94"/>
      <c r="H45" s="95"/>
      <c r="I45" s="95"/>
      <c r="J45" s="95"/>
      <c r="K45" s="95"/>
      <c r="L45" s="95"/>
      <c r="M45" s="97"/>
      <c r="N45" s="152"/>
      <c r="O45" s="248"/>
      <c r="P45" s="95"/>
      <c r="Q45" s="288"/>
      <c r="R45" s="288"/>
      <c r="S45" s="288"/>
      <c r="T45" s="288"/>
      <c r="U45" s="288"/>
      <c r="V45" s="252"/>
      <c r="W45" s="243"/>
      <c r="X45" s="228"/>
      <c r="Y45" s="126"/>
      <c r="Z45" s="215"/>
      <c r="AA45" s="215"/>
      <c r="AB45" s="215"/>
      <c r="AC45" s="215"/>
      <c r="AD45" s="215"/>
      <c r="AE45" s="61"/>
      <c r="AF45" s="31"/>
      <c r="AG45" s="49"/>
      <c r="AH45" s="21"/>
      <c r="AI45" s="21"/>
      <c r="AJ45" s="22"/>
      <c r="AK45" s="22"/>
    </row>
    <row r="46" spans="2:37" x14ac:dyDescent="0.2">
      <c r="B46" s="142"/>
      <c r="C46" s="143"/>
      <c r="D46" s="99"/>
      <c r="E46" s="66" t="s">
        <v>61</v>
      </c>
      <c r="F46" s="87"/>
      <c r="G46" s="67"/>
      <c r="H46" s="68" t="str">
        <f>+TEXT(AF46,"# ##0")&amp;" kg"</f>
        <v>1 972 kg</v>
      </c>
      <c r="I46" s="67"/>
      <c r="J46" s="67"/>
      <c r="K46" s="69">
        <f t="shared" ref="K46:K59" si="9">+AH46</f>
        <v>0.16311131861439568</v>
      </c>
      <c r="L46" s="70"/>
      <c r="M46" s="97"/>
      <c r="N46" s="152"/>
      <c r="O46" s="248"/>
      <c r="P46" s="217"/>
      <c r="Q46" s="277"/>
      <c r="R46" s="277"/>
      <c r="S46" s="289"/>
      <c r="T46" s="277"/>
      <c r="U46" s="278"/>
      <c r="V46" s="347">
        <v>7</v>
      </c>
      <c r="W46" s="243"/>
      <c r="X46" s="228"/>
      <c r="Y46" s="126"/>
      <c r="Z46" s="215"/>
      <c r="AA46" s="215"/>
      <c r="AB46" s="215"/>
      <c r="AC46" s="215"/>
      <c r="AD46" s="215"/>
      <c r="AE46" s="61"/>
      <c r="AF46" s="31">
        <f>+SUM(AE47:AE48)</f>
        <v>1972.3312000000003</v>
      </c>
      <c r="AG46" s="22"/>
      <c r="AH46" s="65">
        <f>+AF46/$AH$3</f>
        <v>0.16311131861439568</v>
      </c>
      <c r="AI46" s="65"/>
      <c r="AJ46" s="32"/>
      <c r="AK46" s="32"/>
    </row>
    <row r="47" spans="2:37" x14ac:dyDescent="0.2">
      <c r="B47" s="142"/>
      <c r="C47" s="143"/>
      <c r="D47" s="99"/>
      <c r="E47" s="71"/>
      <c r="F47" s="72" t="s">
        <v>58</v>
      </c>
      <c r="G47" s="73"/>
      <c r="H47" s="73"/>
      <c r="I47" s="73" t="str">
        <f>+TEXT(AE47,"# ##0")&amp;" kg"</f>
        <v>424 kg</v>
      </c>
      <c r="J47" s="73"/>
      <c r="K47" s="74">
        <f t="shared" si="9"/>
        <v>3.5064698612739968E-2</v>
      </c>
      <c r="L47" s="75"/>
      <c r="M47" s="97"/>
      <c r="N47" s="152"/>
      <c r="O47" s="248"/>
      <c r="P47" s="218"/>
      <c r="Q47" s="279">
        <v>0</v>
      </c>
      <c r="R47" s="279">
        <v>0.15</v>
      </c>
      <c r="S47" s="290">
        <f>1-SUM(Q47:R47)</f>
        <v>0.85</v>
      </c>
      <c r="T47" s="281">
        <v>0.15</v>
      </c>
      <c r="U47" s="282">
        <f>+S47-T47</f>
        <v>0.7</v>
      </c>
      <c r="V47" s="352"/>
      <c r="W47" s="243"/>
      <c r="X47" s="228"/>
      <c r="Y47" s="126"/>
      <c r="Z47" s="215">
        <f>+$AE47*Q47</f>
        <v>0</v>
      </c>
      <c r="AA47" s="215">
        <f>+$AE47*R47</f>
        <v>63.599999999999994</v>
      </c>
      <c r="AB47" s="215"/>
      <c r="AC47" s="215">
        <f>+$AE47*T47</f>
        <v>63.599999999999994</v>
      </c>
      <c r="AD47" s="215">
        <f>+$AE47*U47</f>
        <v>296.79999999999995</v>
      </c>
      <c r="AE47" s="61">
        <f>+'calculs et données'!O64</f>
        <v>424</v>
      </c>
      <c r="AF47" s="31"/>
      <c r="AG47" s="22"/>
      <c r="AH47" s="50">
        <f>+AE47/$AH$3</f>
        <v>3.5064698612739968E-2</v>
      </c>
      <c r="AI47" s="50"/>
      <c r="AJ47" s="22"/>
      <c r="AK47" s="22"/>
    </row>
    <row r="48" spans="2:37" ht="13.5" thickBot="1" x14ac:dyDescent="0.25">
      <c r="B48" s="142"/>
      <c r="C48" s="143"/>
      <c r="D48" s="99"/>
      <c r="E48" s="76"/>
      <c r="F48" s="77" t="s">
        <v>98</v>
      </c>
      <c r="G48" s="78"/>
      <c r="H48" s="78"/>
      <c r="I48" s="78" t="str">
        <f>+TEXT(AE48,"# ##0")&amp;" kg"</f>
        <v>1 548 kg</v>
      </c>
      <c r="J48" s="78"/>
      <c r="K48" s="79">
        <f t="shared" si="9"/>
        <v>0.1280466200016557</v>
      </c>
      <c r="L48" s="80"/>
      <c r="M48" s="97"/>
      <c r="N48" s="152"/>
      <c r="O48" s="248"/>
      <c r="P48" s="219"/>
      <c r="Q48" s="283">
        <v>0</v>
      </c>
      <c r="R48" s="283">
        <v>0.15</v>
      </c>
      <c r="S48" s="291">
        <f>1-SUM(Q48:R48)</f>
        <v>0.85</v>
      </c>
      <c r="T48" s="285">
        <v>0.4</v>
      </c>
      <c r="U48" s="286">
        <f>+S48-T48</f>
        <v>0.44999999999999996</v>
      </c>
      <c r="V48" s="348"/>
      <c r="W48" s="243"/>
      <c r="X48" s="228"/>
      <c r="Y48" s="126"/>
      <c r="Z48" s="215">
        <f>+$AE48*Q48</f>
        <v>0</v>
      </c>
      <c r="AA48" s="215">
        <f>+$AE48*R48</f>
        <v>232.24968000000004</v>
      </c>
      <c r="AB48" s="215"/>
      <c r="AC48" s="215">
        <f>+$AE48*T48</f>
        <v>619.33248000000015</v>
      </c>
      <c r="AD48" s="215">
        <f>+$AE48*U48</f>
        <v>696.74904000000004</v>
      </c>
      <c r="AE48" s="61">
        <f>+'calculs et données'!O65</f>
        <v>1548.3312000000003</v>
      </c>
      <c r="AF48" s="31"/>
      <c r="AG48" s="22"/>
      <c r="AH48" s="50">
        <f>+AE48/$AH$3</f>
        <v>0.1280466200016557</v>
      </c>
      <c r="AI48" s="50"/>
      <c r="AJ48" s="22"/>
      <c r="AK48" s="22"/>
    </row>
    <row r="49" spans="2:37" ht="13.5" thickBot="1" x14ac:dyDescent="0.25">
      <c r="B49" s="142"/>
      <c r="C49" s="143"/>
      <c r="D49" s="99"/>
      <c r="E49" s="103"/>
      <c r="F49" s="104"/>
      <c r="G49" s="95"/>
      <c r="H49" s="95"/>
      <c r="I49" s="95"/>
      <c r="J49" s="95"/>
      <c r="K49" s="96"/>
      <c r="L49" s="95"/>
      <c r="M49" s="97"/>
      <c r="N49" s="152"/>
      <c r="O49" s="248"/>
      <c r="P49" s="95"/>
      <c r="Q49" s="288"/>
      <c r="R49" s="288"/>
      <c r="S49" s="288"/>
      <c r="T49" s="288"/>
      <c r="U49" s="288"/>
      <c r="V49" s="252"/>
      <c r="W49" s="243"/>
      <c r="X49" s="228"/>
      <c r="Y49" s="126"/>
      <c r="Z49" s="215"/>
      <c r="AA49" s="215"/>
      <c r="AB49" s="215"/>
      <c r="AC49" s="215"/>
      <c r="AD49" s="215"/>
      <c r="AE49" s="61"/>
      <c r="AF49" s="31"/>
      <c r="AG49" s="22"/>
      <c r="AH49" s="50"/>
      <c r="AI49" s="50"/>
      <c r="AJ49" s="22"/>
      <c r="AK49" s="22"/>
    </row>
    <row r="50" spans="2:37" ht="13.5" thickBot="1" x14ac:dyDescent="0.25">
      <c r="B50" s="142"/>
      <c r="C50" s="143"/>
      <c r="D50" s="99"/>
      <c r="E50" s="81" t="s">
        <v>62</v>
      </c>
      <c r="F50" s="82"/>
      <c r="G50" s="83"/>
      <c r="H50" s="84" t="str">
        <f>+TEXT(AE50,"# ##0")&amp;" kg"</f>
        <v>480 kg</v>
      </c>
      <c r="I50" s="83"/>
      <c r="J50" s="83"/>
      <c r="K50" s="85">
        <f t="shared" si="9"/>
        <v>3.9672563889401866E-2</v>
      </c>
      <c r="L50" s="86"/>
      <c r="M50" s="97"/>
      <c r="N50" s="152"/>
      <c r="O50" s="248"/>
      <c r="P50" s="220"/>
      <c r="Q50" s="295">
        <v>0</v>
      </c>
      <c r="R50" s="296">
        <v>0</v>
      </c>
      <c r="S50" s="297">
        <f>1-SUM(Q50:R50)</f>
        <v>1</v>
      </c>
      <c r="T50" s="298">
        <v>0.1</v>
      </c>
      <c r="U50" s="299">
        <f>+S50-T50</f>
        <v>0.9</v>
      </c>
      <c r="V50" s="233">
        <v>8</v>
      </c>
      <c r="W50" s="243"/>
      <c r="X50" s="228"/>
      <c r="Y50" s="126"/>
      <c r="Z50" s="215">
        <f>+$AE50*Q50</f>
        <v>0</v>
      </c>
      <c r="AA50" s="215">
        <f>+$AE50*R50</f>
        <v>0</v>
      </c>
      <c r="AB50" s="215"/>
      <c r="AC50" s="215">
        <f>+$AE50*T50</f>
        <v>47.971800000000002</v>
      </c>
      <c r="AD50" s="215">
        <f>+$AE50*U50</f>
        <v>431.74619999999999</v>
      </c>
      <c r="AE50" s="61">
        <f>+'calculs et données'!O66</f>
        <v>479.71799999999996</v>
      </c>
      <c r="AF50" s="31"/>
      <c r="AG50" s="22"/>
      <c r="AH50" s="50">
        <f>+AE50/$AH$3</f>
        <v>3.9672563889401866E-2</v>
      </c>
      <c r="AI50" s="50"/>
      <c r="AJ50" s="22"/>
      <c r="AK50" s="22"/>
    </row>
    <row r="51" spans="2:37" ht="13.5" thickBot="1" x14ac:dyDescent="0.25">
      <c r="B51" s="142"/>
      <c r="C51" s="143"/>
      <c r="D51" s="99"/>
      <c r="E51" s="103"/>
      <c r="F51" s="104"/>
      <c r="G51" s="95"/>
      <c r="H51" s="103"/>
      <c r="I51" s="95"/>
      <c r="J51" s="95"/>
      <c r="K51" s="96"/>
      <c r="L51" s="95"/>
      <c r="M51" s="97"/>
      <c r="N51" s="152"/>
      <c r="O51" s="248"/>
      <c r="P51" s="95"/>
      <c r="Q51" s="288"/>
      <c r="R51" s="288"/>
      <c r="S51" s="288"/>
      <c r="T51" s="288"/>
      <c r="U51" s="288"/>
      <c r="V51" s="252"/>
      <c r="W51" s="243"/>
      <c r="X51" s="228"/>
      <c r="Y51" s="126"/>
      <c r="Z51" s="215"/>
      <c r="AA51" s="215"/>
      <c r="AB51" s="215"/>
      <c r="AC51" s="215"/>
      <c r="AD51" s="215"/>
      <c r="AE51" s="61"/>
      <c r="AF51" s="31"/>
      <c r="AG51" s="22"/>
      <c r="AH51" s="50"/>
      <c r="AI51" s="50"/>
      <c r="AJ51" s="22"/>
      <c r="AK51" s="22"/>
    </row>
    <row r="52" spans="2:37" ht="13.5" thickBot="1" x14ac:dyDescent="0.25">
      <c r="B52" s="142"/>
      <c r="C52" s="143"/>
      <c r="D52" s="99"/>
      <c r="E52" s="81" t="s">
        <v>121</v>
      </c>
      <c r="F52" s="82"/>
      <c r="G52" s="83"/>
      <c r="H52" s="84" t="str">
        <f>+TEXT(AE52,"# ##0")&amp;" kg"</f>
        <v>85 kg</v>
      </c>
      <c r="I52" s="83"/>
      <c r="J52" s="83"/>
      <c r="K52" s="85">
        <f t="shared" si="9"/>
        <v>6.9920993828064583E-3</v>
      </c>
      <c r="L52" s="86"/>
      <c r="M52" s="97"/>
      <c r="N52" s="152"/>
      <c r="O52" s="248"/>
      <c r="P52" s="220"/>
      <c r="Q52" s="295">
        <v>0</v>
      </c>
      <c r="R52" s="296">
        <v>0.6</v>
      </c>
      <c r="S52" s="297">
        <f>1-SUM(Q52:R52)</f>
        <v>0.4</v>
      </c>
      <c r="T52" s="298">
        <v>0.2</v>
      </c>
      <c r="U52" s="299">
        <f>+S52-T52</f>
        <v>0.2</v>
      </c>
      <c r="V52" s="233">
        <v>9</v>
      </c>
      <c r="W52" s="243"/>
      <c r="X52" s="228"/>
      <c r="Y52" s="126"/>
      <c r="Z52" s="215">
        <f>+$AE52*Q52</f>
        <v>0</v>
      </c>
      <c r="AA52" s="215">
        <f>+$AE52*R52</f>
        <v>50.728799999999993</v>
      </c>
      <c r="AB52" s="215"/>
      <c r="AC52" s="215">
        <f>+$AE52*T52</f>
        <v>16.909599999999998</v>
      </c>
      <c r="AD52" s="215">
        <f>+$AE52*U52</f>
        <v>16.909599999999998</v>
      </c>
      <c r="AE52" s="61">
        <f>+'calculs et données'!O67</f>
        <v>84.547999999999988</v>
      </c>
      <c r="AF52" s="31"/>
      <c r="AG52" s="22"/>
      <c r="AH52" s="50">
        <f>+AE52/$AH$3</f>
        <v>6.9920993828064583E-3</v>
      </c>
      <c r="AI52" s="50"/>
      <c r="AJ52" s="22"/>
      <c r="AK52" s="22"/>
    </row>
    <row r="53" spans="2:37" ht="13.5" customHeight="1" thickBot="1" x14ac:dyDescent="0.25">
      <c r="B53" s="142"/>
      <c r="C53" s="143"/>
      <c r="D53" s="99"/>
      <c r="E53" s="103"/>
      <c r="F53" s="104"/>
      <c r="G53" s="95"/>
      <c r="H53" s="103"/>
      <c r="I53" s="95"/>
      <c r="J53" s="95"/>
      <c r="K53" s="96"/>
      <c r="L53" s="95"/>
      <c r="M53" s="97"/>
      <c r="N53" s="152"/>
      <c r="O53" s="248"/>
      <c r="P53" s="95"/>
      <c r="Q53" s="288"/>
      <c r="R53" s="288"/>
      <c r="S53" s="288"/>
      <c r="T53" s="288"/>
      <c r="U53" s="288"/>
      <c r="V53" s="252"/>
      <c r="W53" s="243"/>
      <c r="X53" s="228"/>
      <c r="Y53" s="126"/>
      <c r="Z53" s="215"/>
      <c r="AA53" s="215"/>
      <c r="AB53" s="215"/>
      <c r="AC53" s="215"/>
      <c r="AD53" s="215"/>
      <c r="AE53" s="61"/>
      <c r="AF53" s="31"/>
      <c r="AG53" s="22"/>
      <c r="AH53" s="50"/>
      <c r="AI53" s="50"/>
      <c r="AJ53" s="22"/>
      <c r="AK53" s="22"/>
    </row>
    <row r="54" spans="2:37" ht="13.5" thickBot="1" x14ac:dyDescent="0.25">
      <c r="B54" s="142"/>
      <c r="C54" s="143"/>
      <c r="D54" s="99"/>
      <c r="E54" s="81" t="s">
        <v>122</v>
      </c>
      <c r="F54" s="82"/>
      <c r="G54" s="83"/>
      <c r="H54" s="84" t="str">
        <f>+TEXT(AE54,"# ##0")&amp;" kg"</f>
        <v>383 kg</v>
      </c>
      <c r="I54" s="83"/>
      <c r="J54" s="83"/>
      <c r="K54" s="85">
        <f t="shared" si="9"/>
        <v>3.1664084445391219E-2</v>
      </c>
      <c r="L54" s="86"/>
      <c r="M54" s="97"/>
      <c r="N54" s="152"/>
      <c r="O54" s="248"/>
      <c r="P54" s="220"/>
      <c r="Q54" s="295">
        <v>0</v>
      </c>
      <c r="R54" s="296">
        <v>0.15</v>
      </c>
      <c r="S54" s="297">
        <f>1-SUM(Q54:R54)</f>
        <v>0.85</v>
      </c>
      <c r="T54" s="298"/>
      <c r="U54" s="299">
        <f>+S54-T54</f>
        <v>0.85</v>
      </c>
      <c r="V54" s="233">
        <v>10</v>
      </c>
      <c r="W54" s="243"/>
      <c r="X54" s="228"/>
      <c r="Y54" s="126"/>
      <c r="Z54" s="215">
        <f>+$AE54*Q54</f>
        <v>0</v>
      </c>
      <c r="AA54" s="215">
        <f>+$AE54*R54</f>
        <v>57.431999999999995</v>
      </c>
      <c r="AB54" s="215"/>
      <c r="AC54" s="215">
        <f>+$AE54*T54</f>
        <v>0</v>
      </c>
      <c r="AD54" s="215">
        <f>+$AE54*U54</f>
        <v>325.44799999999998</v>
      </c>
      <c r="AE54" s="61">
        <f>+'calculs et données'!O69</f>
        <v>382.88</v>
      </c>
      <c r="AF54" s="31"/>
      <c r="AG54" s="22"/>
      <c r="AH54" s="50">
        <f>+AE54/$AH$3</f>
        <v>3.1664084445391219E-2</v>
      </c>
      <c r="AI54" s="50"/>
      <c r="AJ54" s="22"/>
      <c r="AK54" s="22"/>
    </row>
    <row r="55" spans="2:37" ht="13.5" customHeight="1" thickBot="1" x14ac:dyDescent="0.25">
      <c r="B55" s="142"/>
      <c r="C55" s="143"/>
      <c r="D55" s="117"/>
      <c r="E55" s="118"/>
      <c r="F55" s="119"/>
      <c r="G55" s="120"/>
      <c r="H55" s="118"/>
      <c r="I55" s="120"/>
      <c r="J55" s="120"/>
      <c r="K55" s="122"/>
      <c r="L55" s="120"/>
      <c r="M55" s="121"/>
      <c r="N55" s="152"/>
      <c r="O55" s="235"/>
      <c r="P55" s="236"/>
      <c r="Q55" s="292"/>
      <c r="R55" s="292"/>
      <c r="S55" s="292"/>
      <c r="T55" s="292"/>
      <c r="U55" s="292"/>
      <c r="V55" s="237"/>
      <c r="W55" s="258"/>
      <c r="X55" s="228"/>
      <c r="Y55" s="126"/>
      <c r="Z55" s="215"/>
      <c r="AA55" s="215"/>
      <c r="AB55" s="215"/>
      <c r="AC55" s="215"/>
      <c r="AD55" s="215"/>
      <c r="AE55" s="61"/>
      <c r="AF55" s="31"/>
      <c r="AG55" s="22"/>
      <c r="AH55" s="50"/>
      <c r="AI55" s="50"/>
      <c r="AJ55" s="22"/>
      <c r="AK55" s="22"/>
    </row>
    <row r="56" spans="2:37" ht="14.25" customHeight="1" thickTop="1" thickBot="1" x14ac:dyDescent="0.25">
      <c r="B56" s="142"/>
      <c r="C56" s="143"/>
      <c r="D56" s="157"/>
      <c r="E56" s="157"/>
      <c r="F56" s="158"/>
      <c r="G56" s="159"/>
      <c r="H56" s="159"/>
      <c r="I56" s="159"/>
      <c r="J56" s="159"/>
      <c r="K56" s="159"/>
      <c r="L56" s="159"/>
      <c r="M56" s="159"/>
      <c r="N56" s="151"/>
      <c r="O56" s="159"/>
      <c r="P56" s="159"/>
      <c r="Q56" s="262"/>
      <c r="R56" s="262"/>
      <c r="S56" s="262"/>
      <c r="T56" s="262"/>
      <c r="U56" s="262"/>
      <c r="V56" s="159"/>
      <c r="W56" s="159"/>
      <c r="X56" s="228"/>
      <c r="Y56" s="126"/>
      <c r="Z56" s="215"/>
      <c r="AA56" s="215"/>
      <c r="AB56" s="215"/>
      <c r="AC56" s="215"/>
      <c r="AD56" s="215"/>
      <c r="AE56" s="62"/>
      <c r="AF56" s="44"/>
      <c r="AG56" s="22"/>
      <c r="AH56" s="22"/>
      <c r="AI56" s="22"/>
      <c r="AJ56" s="22"/>
      <c r="AK56" s="22"/>
    </row>
    <row r="57" spans="2:37" ht="13.5" customHeight="1" thickTop="1" x14ac:dyDescent="0.2">
      <c r="B57" s="142"/>
      <c r="C57" s="143"/>
      <c r="D57" s="105" t="s">
        <v>63</v>
      </c>
      <c r="E57" s="106"/>
      <c r="F57" s="107"/>
      <c r="G57" s="108" t="str">
        <f>+TEXT(AG57,"# ##0")&amp;" kg"</f>
        <v>1 489 kg</v>
      </c>
      <c r="H57" s="107"/>
      <c r="I57" s="107"/>
      <c r="J57" s="107"/>
      <c r="K57" s="109">
        <f>+AH57</f>
        <v>0.12315330823034346</v>
      </c>
      <c r="L57" s="90"/>
      <c r="M57" s="91"/>
      <c r="N57" s="260"/>
      <c r="O57" s="246"/>
      <c r="P57" s="247"/>
      <c r="Q57" s="294"/>
      <c r="R57" s="294"/>
      <c r="S57" s="294"/>
      <c r="T57" s="294"/>
      <c r="U57" s="294"/>
      <c r="V57" s="253"/>
      <c r="W57" s="259"/>
      <c r="X57" s="228"/>
      <c r="Y57" s="126"/>
      <c r="Z57" s="215"/>
      <c r="AA57" s="215"/>
      <c r="AB57" s="215"/>
      <c r="AC57" s="215"/>
      <c r="AD57" s="215"/>
      <c r="AE57" s="63"/>
      <c r="AF57" s="46">
        <v>1037</v>
      </c>
      <c r="AG57" s="20">
        <f>+SUM(AE59:AE59)</f>
        <v>1489.1615999999999</v>
      </c>
      <c r="AH57" s="21">
        <f>+AG57/$AH$3</f>
        <v>0.12315330823034346</v>
      </c>
      <c r="AI57" s="21"/>
      <c r="AJ57" s="32"/>
      <c r="AK57" s="32"/>
    </row>
    <row r="58" spans="2:37" ht="13.5" customHeight="1" thickBot="1" x14ac:dyDescent="0.25">
      <c r="B58" s="142"/>
      <c r="C58" s="143"/>
      <c r="D58" s="98"/>
      <c r="E58" s="103"/>
      <c r="F58" s="95"/>
      <c r="G58" s="94"/>
      <c r="H58" s="95"/>
      <c r="I58" s="95"/>
      <c r="J58" s="95"/>
      <c r="K58" s="96"/>
      <c r="L58" s="95"/>
      <c r="M58" s="97"/>
      <c r="N58" s="152"/>
      <c r="O58" s="248"/>
      <c r="P58" s="95"/>
      <c r="Q58" s="288"/>
      <c r="R58" s="288"/>
      <c r="S58" s="288"/>
      <c r="T58" s="288"/>
      <c r="U58" s="288"/>
      <c r="V58" s="251"/>
      <c r="W58" s="241"/>
      <c r="X58" s="228"/>
      <c r="Y58" s="126"/>
      <c r="Z58" s="215"/>
      <c r="AA58" s="215"/>
      <c r="AB58" s="215"/>
      <c r="AC58" s="215"/>
      <c r="AD58" s="215"/>
      <c r="AE58" s="61"/>
      <c r="AF58" s="31"/>
      <c r="AG58" s="20"/>
      <c r="AH58" s="21"/>
      <c r="AI58" s="21"/>
      <c r="AJ58" s="32"/>
      <c r="AK58" s="32"/>
    </row>
    <row r="59" spans="2:37" ht="13.5" thickBot="1" x14ac:dyDescent="0.25">
      <c r="B59" s="142"/>
      <c r="C59" s="143"/>
      <c r="D59" s="99"/>
      <c r="E59" s="81" t="s">
        <v>99</v>
      </c>
      <c r="F59" s="82"/>
      <c r="G59" s="83"/>
      <c r="H59" s="84" t="str">
        <f>+TEXT(AE59,"# ##0")&amp;" kg"</f>
        <v>1 489 kg</v>
      </c>
      <c r="I59" s="83"/>
      <c r="J59" s="83"/>
      <c r="K59" s="85">
        <f t="shared" si="9"/>
        <v>0.12315330823034346</v>
      </c>
      <c r="L59" s="86"/>
      <c r="M59" s="97"/>
      <c r="N59" s="152"/>
      <c r="O59" s="248"/>
      <c r="P59" s="221">
        <f>+SUM(Q59:R59)</f>
        <v>0.60000000000000009</v>
      </c>
      <c r="Q59" s="295">
        <v>0.2</v>
      </c>
      <c r="R59" s="296">
        <v>0.4</v>
      </c>
      <c r="S59" s="297">
        <f>1-SUM(Q59:R59)</f>
        <v>0.39999999999999991</v>
      </c>
      <c r="T59" s="298">
        <v>0.35</v>
      </c>
      <c r="U59" s="298">
        <f>+S59-T59</f>
        <v>4.9999999999999933E-2</v>
      </c>
      <c r="V59" s="234">
        <v>11</v>
      </c>
      <c r="W59" s="241"/>
      <c r="X59" s="228"/>
      <c r="Y59" s="126"/>
      <c r="Z59" s="215">
        <f>+$AE59*Q59</f>
        <v>297.83231999999998</v>
      </c>
      <c r="AA59" s="215">
        <f>+$AE59*R59</f>
        <v>595.66463999999996</v>
      </c>
      <c r="AB59" s="215"/>
      <c r="AC59" s="215">
        <f>+$AE59*T59</f>
        <v>521.20655999999997</v>
      </c>
      <c r="AD59" s="215">
        <f>+$AE59*U59</f>
        <v>74.458079999999896</v>
      </c>
      <c r="AE59" s="61">
        <f>+'calculs et données'!O73</f>
        <v>1489.1615999999999</v>
      </c>
      <c r="AF59" s="31"/>
      <c r="AG59" s="22"/>
      <c r="AH59" s="50">
        <f>+AE59/$AH$3</f>
        <v>0.12315330823034346</v>
      </c>
      <c r="AI59" s="50"/>
      <c r="AJ59" s="22"/>
      <c r="AK59" s="22"/>
    </row>
    <row r="60" spans="2:37" ht="13.5" thickBot="1" x14ac:dyDescent="0.25">
      <c r="B60" s="142"/>
      <c r="C60" s="143"/>
      <c r="D60" s="117"/>
      <c r="E60" s="118"/>
      <c r="F60" s="119"/>
      <c r="G60" s="120"/>
      <c r="H60" s="118"/>
      <c r="I60" s="120"/>
      <c r="J60" s="120"/>
      <c r="K60" s="120"/>
      <c r="L60" s="120"/>
      <c r="M60" s="121"/>
      <c r="N60" s="152"/>
      <c r="O60" s="235"/>
      <c r="P60" s="236"/>
      <c r="Q60" s="292"/>
      <c r="R60" s="292"/>
      <c r="S60" s="292"/>
      <c r="T60" s="292"/>
      <c r="U60" s="292"/>
      <c r="V60" s="237"/>
      <c r="W60" s="258"/>
      <c r="X60" s="228"/>
      <c r="Y60" s="126"/>
      <c r="Z60" s="215"/>
      <c r="AA60" s="215"/>
      <c r="AB60" s="215"/>
      <c r="AC60" s="215"/>
      <c r="AD60" s="215"/>
      <c r="AE60" s="61"/>
      <c r="AF60" s="31"/>
      <c r="AG60" s="22"/>
      <c r="AH60" s="22"/>
      <c r="AI60" s="22"/>
      <c r="AJ60" s="22"/>
      <c r="AK60" s="22"/>
    </row>
    <row r="61" spans="2:37" ht="14.25" thickTop="1" thickBot="1" x14ac:dyDescent="0.25">
      <c r="B61" s="142"/>
      <c r="C61" s="143"/>
      <c r="D61" s="150"/>
      <c r="E61" s="150"/>
      <c r="F61" s="160"/>
      <c r="G61" s="151"/>
      <c r="H61" s="150"/>
      <c r="I61" s="151"/>
      <c r="J61" s="151"/>
      <c r="K61" s="151"/>
      <c r="L61" s="151"/>
      <c r="M61" s="151"/>
      <c r="N61" s="151"/>
      <c r="O61" s="151"/>
      <c r="P61" s="151"/>
      <c r="Q61" s="232"/>
      <c r="R61" s="232"/>
      <c r="S61" s="232"/>
      <c r="T61" s="232"/>
      <c r="U61" s="232"/>
      <c r="V61" s="151"/>
      <c r="W61" s="151"/>
      <c r="X61" s="228"/>
      <c r="Y61" s="126"/>
      <c r="Z61" s="215"/>
      <c r="AA61" s="215"/>
      <c r="AB61" s="215"/>
      <c r="AC61" s="215"/>
      <c r="AD61" s="215"/>
      <c r="AE61" s="61"/>
      <c r="AF61" s="31"/>
      <c r="AG61" s="22"/>
      <c r="AH61" s="22"/>
      <c r="AI61" s="22"/>
      <c r="AJ61" s="22"/>
      <c r="AK61" s="22"/>
    </row>
    <row r="62" spans="2:37" ht="13.5" thickTop="1" x14ac:dyDescent="0.2">
      <c r="B62" s="142"/>
      <c r="C62" s="143"/>
      <c r="D62" s="105" t="s">
        <v>67</v>
      </c>
      <c r="E62" s="106"/>
      <c r="F62" s="107"/>
      <c r="G62" s="108" t="str">
        <f>+TEXT(AG62,"# ##0")&amp;" kg"</f>
        <v>2 705 kg</v>
      </c>
      <c r="H62" s="107"/>
      <c r="I62" s="107"/>
      <c r="J62" s="107"/>
      <c r="K62" s="109">
        <f>+AH62</f>
        <v>0.22371392930829165</v>
      </c>
      <c r="L62" s="90"/>
      <c r="M62" s="91"/>
      <c r="N62" s="152"/>
      <c r="O62" s="246"/>
      <c r="P62" s="247"/>
      <c r="Q62" s="294"/>
      <c r="R62" s="294"/>
      <c r="S62" s="294"/>
      <c r="T62" s="294"/>
      <c r="U62" s="294"/>
      <c r="V62" s="254"/>
      <c r="W62" s="255"/>
      <c r="X62" s="228"/>
      <c r="Y62" s="126"/>
      <c r="Z62" s="215"/>
      <c r="AA62" s="215"/>
      <c r="AB62" s="215"/>
      <c r="AC62" s="215"/>
      <c r="AD62" s="215"/>
      <c r="AE62" s="63"/>
      <c r="AF62" s="46">
        <v>3061</v>
      </c>
      <c r="AG62" s="20">
        <f>+SUM(AE64:AE81)</f>
        <v>2705.1339318300129</v>
      </c>
      <c r="AH62" s="21">
        <f>+AG62/$AH$3</f>
        <v>0.22371392930829165</v>
      </c>
      <c r="AI62" s="21"/>
      <c r="AJ62" s="22"/>
      <c r="AK62" s="22"/>
    </row>
    <row r="63" spans="2:37" ht="13.5" customHeight="1" thickBot="1" x14ac:dyDescent="0.25">
      <c r="B63" s="142"/>
      <c r="C63" s="143"/>
      <c r="D63" s="98"/>
      <c r="E63" s="103"/>
      <c r="F63" s="104"/>
      <c r="G63" s="94"/>
      <c r="H63" s="95"/>
      <c r="I63" s="95"/>
      <c r="J63" s="95"/>
      <c r="K63" s="95"/>
      <c r="L63" s="95"/>
      <c r="M63" s="97"/>
      <c r="N63" s="152"/>
      <c r="O63" s="248"/>
      <c r="P63" s="95"/>
      <c r="Q63" s="288"/>
      <c r="R63" s="288"/>
      <c r="S63" s="288"/>
      <c r="T63" s="288"/>
      <c r="U63" s="288"/>
      <c r="V63" s="251"/>
      <c r="W63" s="241"/>
      <c r="X63" s="228"/>
      <c r="Y63" s="126"/>
      <c r="Z63" s="215"/>
      <c r="AA63" s="215"/>
      <c r="AB63" s="215"/>
      <c r="AC63" s="215"/>
      <c r="AD63" s="215"/>
      <c r="AE63" s="61"/>
      <c r="AF63" s="31"/>
      <c r="AG63" s="20"/>
      <c r="AH63" s="21"/>
      <c r="AI63" s="21"/>
      <c r="AJ63" s="22"/>
      <c r="AK63" s="22"/>
    </row>
    <row r="64" spans="2:37" ht="12.75" customHeight="1" x14ac:dyDescent="0.2">
      <c r="B64" s="142"/>
      <c r="C64" s="143"/>
      <c r="D64" s="99"/>
      <c r="E64" s="66" t="s">
        <v>109</v>
      </c>
      <c r="F64" s="67"/>
      <c r="G64" s="67"/>
      <c r="H64" s="68" t="str">
        <f>+TEXT(AF64,"# ##0")&amp;" kg"</f>
        <v>1 696 kg</v>
      </c>
      <c r="I64" s="67"/>
      <c r="J64" s="67"/>
      <c r="K64" s="69">
        <f t="shared" ref="K64:K70" si="10">+AH64</f>
        <v>0.14025879445095987</v>
      </c>
      <c r="L64" s="70"/>
      <c r="M64" s="97"/>
      <c r="N64" s="152"/>
      <c r="O64" s="248"/>
      <c r="P64" s="217"/>
      <c r="Q64" s="277"/>
      <c r="R64" s="278"/>
      <c r="S64" s="300"/>
      <c r="T64" s="301"/>
      <c r="U64" s="301"/>
      <c r="V64" s="342">
        <v>12</v>
      </c>
      <c r="W64" s="241"/>
      <c r="X64" s="228"/>
      <c r="Y64" s="126"/>
      <c r="Z64" s="215"/>
      <c r="AA64" s="215"/>
      <c r="AB64" s="215"/>
      <c r="AC64" s="215"/>
      <c r="AD64" s="215"/>
      <c r="AE64" s="61"/>
      <c r="AF64" s="31">
        <f>+SUM(AE65:AE70)</f>
        <v>1696.0000000000002</v>
      </c>
      <c r="AG64" s="22"/>
      <c r="AH64" s="65">
        <f>+AF64/$AH$3</f>
        <v>0.14025879445095987</v>
      </c>
      <c r="AI64" s="65"/>
      <c r="AJ64" s="32"/>
      <c r="AK64" s="32"/>
    </row>
    <row r="65" spans="2:37" ht="12.75" customHeight="1" x14ac:dyDescent="0.2">
      <c r="B65" s="142"/>
      <c r="C65" s="143"/>
      <c r="D65" s="99"/>
      <c r="E65" s="71"/>
      <c r="F65" s="72" t="s">
        <v>69</v>
      </c>
      <c r="G65" s="73"/>
      <c r="H65" s="73"/>
      <c r="I65" s="73" t="str">
        <f t="shared" ref="I65:I80" si="11">+TEXT(AE65,"# ##0")&amp;" kg"</f>
        <v>654 kg</v>
      </c>
      <c r="J65" s="73"/>
      <c r="K65" s="74">
        <f t="shared" si="10"/>
        <v>5.4045947729711843E-2</v>
      </c>
      <c r="L65" s="75"/>
      <c r="M65" s="97"/>
      <c r="N65" s="152"/>
      <c r="O65" s="248"/>
      <c r="P65" s="222">
        <f t="shared" ref="P65:P70" si="12">+SUM(Q65:R65)</f>
        <v>0.46750000000000003</v>
      </c>
      <c r="Q65" s="279">
        <v>0</v>
      </c>
      <c r="R65" s="280">
        <f>0.55*0.85</f>
        <v>0.46750000000000003</v>
      </c>
      <c r="S65" s="290">
        <f t="shared" ref="S65:S70" si="13">1-SUM(Q65:R65)</f>
        <v>0.53249999999999997</v>
      </c>
      <c r="T65" s="281">
        <v>0</v>
      </c>
      <c r="U65" s="281">
        <f t="shared" ref="U65:U70" si="14">+S65-T65</f>
        <v>0.53249999999999997</v>
      </c>
      <c r="V65" s="343"/>
      <c r="W65" s="241"/>
      <c r="X65" s="228"/>
      <c r="Y65" s="126"/>
      <c r="Z65" s="215">
        <f t="shared" ref="Z65:AA70" si="15">+$AE65*Q65</f>
        <v>0</v>
      </c>
      <c r="AA65" s="215">
        <f t="shared" si="15"/>
        <v>305.5206</v>
      </c>
      <c r="AB65" s="215"/>
      <c r="AC65" s="215">
        <f t="shared" ref="AC65:AD70" si="16">+$AE65*T65</f>
        <v>0</v>
      </c>
      <c r="AD65" s="215">
        <f t="shared" si="16"/>
        <v>347.99939999999998</v>
      </c>
      <c r="AE65" s="61">
        <f>+'calculs et données'!O78</f>
        <v>653.52</v>
      </c>
      <c r="AF65" s="31"/>
      <c r="AG65" s="22"/>
      <c r="AH65" s="50">
        <f t="shared" ref="AH65:AH70" si="17">+AE65/$AH$3</f>
        <v>5.4045947729711843E-2</v>
      </c>
      <c r="AI65" s="50"/>
      <c r="AJ65" s="22"/>
      <c r="AK65" s="22"/>
    </row>
    <row r="66" spans="2:37" ht="12.75" customHeight="1" x14ac:dyDescent="0.2">
      <c r="B66" s="142"/>
      <c r="C66" s="143"/>
      <c r="D66" s="99"/>
      <c r="E66" s="71"/>
      <c r="F66" s="72" t="s">
        <v>70</v>
      </c>
      <c r="G66" s="73"/>
      <c r="H66" s="73"/>
      <c r="I66" s="73" t="str">
        <f t="shared" si="11"/>
        <v>498 kg</v>
      </c>
      <c r="J66" s="73"/>
      <c r="K66" s="74">
        <f t="shared" si="10"/>
        <v>4.1177864936923311E-2</v>
      </c>
      <c r="L66" s="75"/>
      <c r="M66" s="97"/>
      <c r="N66" s="152"/>
      <c r="O66" s="248"/>
      <c r="P66" s="222">
        <f t="shared" si="12"/>
        <v>0.46750000000000003</v>
      </c>
      <c r="Q66" s="279">
        <v>0</v>
      </c>
      <c r="R66" s="280">
        <f>0.55*0.85</f>
        <v>0.46750000000000003</v>
      </c>
      <c r="S66" s="290">
        <f t="shared" si="13"/>
        <v>0.53249999999999997</v>
      </c>
      <c r="T66" s="281">
        <v>0</v>
      </c>
      <c r="U66" s="281">
        <f t="shared" si="14"/>
        <v>0.53249999999999997</v>
      </c>
      <c r="V66" s="343"/>
      <c r="W66" s="241"/>
      <c r="X66" s="228"/>
      <c r="Y66" s="126"/>
      <c r="Z66" s="215">
        <f t="shared" si="15"/>
        <v>0</v>
      </c>
      <c r="AA66" s="215">
        <f t="shared" si="15"/>
        <v>232.77760000000001</v>
      </c>
      <c r="AB66" s="215"/>
      <c r="AC66" s="215">
        <f t="shared" si="16"/>
        <v>0</v>
      </c>
      <c r="AD66" s="215">
        <f t="shared" si="16"/>
        <v>265.14240000000001</v>
      </c>
      <c r="AE66" s="61">
        <f>+'calculs et données'!O79</f>
        <v>497.92</v>
      </c>
      <c r="AF66" s="31"/>
      <c r="AG66" s="22"/>
      <c r="AH66" s="50">
        <f t="shared" si="17"/>
        <v>4.1177864936923311E-2</v>
      </c>
      <c r="AI66" s="50"/>
      <c r="AJ66" s="22"/>
      <c r="AK66" s="22"/>
    </row>
    <row r="67" spans="2:37" ht="12.75" customHeight="1" x14ac:dyDescent="0.2">
      <c r="B67" s="142"/>
      <c r="C67" s="143"/>
      <c r="D67" s="99"/>
      <c r="E67" s="71"/>
      <c r="F67" s="72" t="s">
        <v>71</v>
      </c>
      <c r="G67" s="73"/>
      <c r="H67" s="73"/>
      <c r="I67" s="73" t="str">
        <f t="shared" si="11"/>
        <v>171 kg</v>
      </c>
      <c r="J67" s="73"/>
      <c r="K67" s="74">
        <f t="shared" si="10"/>
        <v>1.4154891072067388E-2</v>
      </c>
      <c r="L67" s="75"/>
      <c r="M67" s="97"/>
      <c r="N67" s="152"/>
      <c r="O67" s="248"/>
      <c r="P67" s="222">
        <f t="shared" si="12"/>
        <v>0.46750000000000003</v>
      </c>
      <c r="Q67" s="279">
        <v>0</v>
      </c>
      <c r="R67" s="280">
        <f>0.55*0.85</f>
        <v>0.46750000000000003</v>
      </c>
      <c r="S67" s="290">
        <f t="shared" si="13"/>
        <v>0.53249999999999997</v>
      </c>
      <c r="T67" s="281">
        <v>0</v>
      </c>
      <c r="U67" s="281">
        <f t="shared" si="14"/>
        <v>0.53249999999999997</v>
      </c>
      <c r="V67" s="343"/>
      <c r="W67" s="241"/>
      <c r="X67" s="228"/>
      <c r="Y67" s="126"/>
      <c r="Z67" s="215">
        <f t="shared" si="15"/>
        <v>0</v>
      </c>
      <c r="AA67" s="215">
        <f t="shared" si="15"/>
        <v>80.017300000000006</v>
      </c>
      <c r="AB67" s="215"/>
      <c r="AC67" s="215">
        <f t="shared" si="16"/>
        <v>0</v>
      </c>
      <c r="AD67" s="215">
        <f t="shared" si="16"/>
        <v>91.142699999999991</v>
      </c>
      <c r="AE67" s="61">
        <f>+'calculs et données'!O80</f>
        <v>171.16</v>
      </c>
      <c r="AF67" s="31"/>
      <c r="AG67" s="22"/>
      <c r="AH67" s="50">
        <f t="shared" si="17"/>
        <v>1.4154891072067388E-2</v>
      </c>
      <c r="AI67" s="50"/>
      <c r="AJ67" s="22"/>
      <c r="AK67" s="22"/>
    </row>
    <row r="68" spans="2:37" ht="12.75" customHeight="1" x14ac:dyDescent="0.2">
      <c r="B68" s="142"/>
      <c r="C68" s="143"/>
      <c r="D68" s="99"/>
      <c r="E68" s="71"/>
      <c r="F68" s="72" t="s">
        <v>72</v>
      </c>
      <c r="G68" s="73"/>
      <c r="H68" s="73"/>
      <c r="I68" s="73" t="str">
        <f t="shared" si="11"/>
        <v>171 kg</v>
      </c>
      <c r="J68" s="73"/>
      <c r="K68" s="74">
        <f t="shared" si="10"/>
        <v>1.4154891072067388E-2</v>
      </c>
      <c r="L68" s="75"/>
      <c r="M68" s="97"/>
      <c r="N68" s="152"/>
      <c r="O68" s="248"/>
      <c r="P68" s="222">
        <f t="shared" si="12"/>
        <v>0.46750000000000003</v>
      </c>
      <c r="Q68" s="279">
        <v>0</v>
      </c>
      <c r="R68" s="280">
        <f>0.55*0.85</f>
        <v>0.46750000000000003</v>
      </c>
      <c r="S68" s="290">
        <f t="shared" si="13"/>
        <v>0.53249999999999997</v>
      </c>
      <c r="T68" s="281">
        <v>0</v>
      </c>
      <c r="U68" s="281">
        <f t="shared" si="14"/>
        <v>0.53249999999999997</v>
      </c>
      <c r="V68" s="343"/>
      <c r="W68" s="241"/>
      <c r="X68" s="228"/>
      <c r="Y68" s="126"/>
      <c r="Z68" s="215">
        <f t="shared" si="15"/>
        <v>0</v>
      </c>
      <c r="AA68" s="215">
        <f t="shared" si="15"/>
        <v>80.017300000000006</v>
      </c>
      <c r="AB68" s="215"/>
      <c r="AC68" s="215">
        <f t="shared" si="16"/>
        <v>0</v>
      </c>
      <c r="AD68" s="215">
        <f t="shared" si="16"/>
        <v>91.142699999999991</v>
      </c>
      <c r="AE68" s="61">
        <f>+'calculs et données'!O81</f>
        <v>171.16</v>
      </c>
      <c r="AF68" s="31"/>
      <c r="AG68" s="22"/>
      <c r="AH68" s="50">
        <f t="shared" si="17"/>
        <v>1.4154891072067388E-2</v>
      </c>
      <c r="AI68" s="50"/>
      <c r="AJ68" s="22"/>
      <c r="AK68" s="22"/>
    </row>
    <row r="69" spans="2:37" ht="12.75" customHeight="1" x14ac:dyDescent="0.2">
      <c r="B69" s="142"/>
      <c r="C69" s="143"/>
      <c r="D69" s="99"/>
      <c r="E69" s="71"/>
      <c r="F69" s="72" t="s">
        <v>73</v>
      </c>
      <c r="G69" s="73"/>
      <c r="H69" s="73"/>
      <c r="I69" s="73" t="str">
        <f t="shared" si="11"/>
        <v>62 kg</v>
      </c>
      <c r="J69" s="73"/>
      <c r="K69" s="74">
        <f t="shared" si="10"/>
        <v>5.1472331171154139E-3</v>
      </c>
      <c r="L69" s="75"/>
      <c r="M69" s="97"/>
      <c r="N69" s="152"/>
      <c r="O69" s="248"/>
      <c r="P69" s="222">
        <f t="shared" si="12"/>
        <v>0.46750000000000003</v>
      </c>
      <c r="Q69" s="279">
        <v>0</v>
      </c>
      <c r="R69" s="280">
        <f>0.55*0.85</f>
        <v>0.46750000000000003</v>
      </c>
      <c r="S69" s="290">
        <f t="shared" si="13"/>
        <v>0.53249999999999997</v>
      </c>
      <c r="T69" s="281">
        <v>0</v>
      </c>
      <c r="U69" s="281">
        <f t="shared" si="14"/>
        <v>0.53249999999999997</v>
      </c>
      <c r="V69" s="343"/>
      <c r="W69" s="241"/>
      <c r="X69" s="228"/>
      <c r="Y69" s="126"/>
      <c r="Z69" s="215">
        <f t="shared" si="15"/>
        <v>0</v>
      </c>
      <c r="AA69" s="215">
        <f t="shared" si="15"/>
        <v>29.097200000000001</v>
      </c>
      <c r="AB69" s="215"/>
      <c r="AC69" s="215">
        <f t="shared" si="16"/>
        <v>0</v>
      </c>
      <c r="AD69" s="215">
        <f t="shared" si="16"/>
        <v>33.142800000000001</v>
      </c>
      <c r="AE69" s="61">
        <f>+'calculs et données'!O82</f>
        <v>62.24</v>
      </c>
      <c r="AF69" s="31"/>
      <c r="AG69" s="22"/>
      <c r="AH69" s="50">
        <f t="shared" si="17"/>
        <v>5.1472331171154139E-3</v>
      </c>
      <c r="AI69" s="50"/>
      <c r="AJ69" s="22"/>
      <c r="AK69" s="22"/>
    </row>
    <row r="70" spans="2:37" ht="12.75" customHeight="1" thickBot="1" x14ac:dyDescent="0.25">
      <c r="B70" s="142"/>
      <c r="C70" s="143"/>
      <c r="D70" s="99"/>
      <c r="E70" s="76"/>
      <c r="F70" s="77" t="s">
        <v>74</v>
      </c>
      <c r="G70" s="78"/>
      <c r="H70" s="78"/>
      <c r="I70" s="78" t="str">
        <f t="shared" si="11"/>
        <v>140 kg</v>
      </c>
      <c r="J70" s="78"/>
      <c r="K70" s="79">
        <f t="shared" si="10"/>
        <v>1.1577966523074516E-2</v>
      </c>
      <c r="L70" s="80"/>
      <c r="M70" s="97"/>
      <c r="N70" s="152"/>
      <c r="O70" s="248"/>
      <c r="P70" s="223">
        <f t="shared" si="12"/>
        <v>0.35</v>
      </c>
      <c r="Q70" s="283">
        <v>0</v>
      </c>
      <c r="R70" s="284">
        <v>0.35</v>
      </c>
      <c r="S70" s="291">
        <f t="shared" si="13"/>
        <v>0.65</v>
      </c>
      <c r="T70" s="285">
        <v>0</v>
      </c>
      <c r="U70" s="285">
        <f t="shared" si="14"/>
        <v>0.65</v>
      </c>
      <c r="V70" s="344"/>
      <c r="W70" s="241"/>
      <c r="X70" s="228"/>
      <c r="Y70" s="126"/>
      <c r="Z70" s="215">
        <f t="shared" si="15"/>
        <v>0</v>
      </c>
      <c r="AA70" s="215">
        <f t="shared" si="15"/>
        <v>49</v>
      </c>
      <c r="AB70" s="215"/>
      <c r="AC70" s="215">
        <f t="shared" si="16"/>
        <v>0</v>
      </c>
      <c r="AD70" s="215">
        <f t="shared" si="16"/>
        <v>91</v>
      </c>
      <c r="AE70" s="61">
        <f>+'calculs et données'!O83</f>
        <v>140</v>
      </c>
      <c r="AF70" s="31"/>
      <c r="AG70" s="22"/>
      <c r="AH70" s="50">
        <f t="shared" si="17"/>
        <v>1.1577966523074516E-2</v>
      </c>
      <c r="AI70" s="50"/>
      <c r="AJ70" s="22"/>
      <c r="AK70" s="22"/>
    </row>
    <row r="71" spans="2:37" ht="13.5" thickBot="1" x14ac:dyDescent="0.25">
      <c r="B71" s="142"/>
      <c r="C71" s="143"/>
      <c r="D71" s="99"/>
      <c r="E71" s="103"/>
      <c r="F71" s="104"/>
      <c r="G71" s="95"/>
      <c r="H71" s="95"/>
      <c r="I71" s="95"/>
      <c r="J71" s="95"/>
      <c r="K71" s="96"/>
      <c r="L71" s="95"/>
      <c r="M71" s="97"/>
      <c r="N71" s="152"/>
      <c r="O71" s="248"/>
      <c r="P71" s="95"/>
      <c r="Q71" s="288"/>
      <c r="R71" s="288"/>
      <c r="S71" s="288"/>
      <c r="T71" s="288"/>
      <c r="U71" s="288"/>
      <c r="V71" s="251"/>
      <c r="W71" s="241"/>
      <c r="X71" s="228"/>
      <c r="Y71" s="126"/>
      <c r="Z71" s="215"/>
      <c r="AA71" s="215"/>
      <c r="AB71" s="215"/>
      <c r="AC71" s="215"/>
      <c r="AD71" s="215"/>
      <c r="AE71" s="61"/>
      <c r="AF71" s="31"/>
      <c r="AG71" s="22"/>
      <c r="AH71" s="22"/>
      <c r="AI71" s="22"/>
      <c r="AJ71" s="22"/>
      <c r="AK71" s="22"/>
    </row>
    <row r="72" spans="2:37" ht="13.5" thickBot="1" x14ac:dyDescent="0.25">
      <c r="B72" s="142"/>
      <c r="C72" s="143"/>
      <c r="D72" s="99"/>
      <c r="E72" s="66" t="s">
        <v>112</v>
      </c>
      <c r="F72" s="67"/>
      <c r="G72" s="67"/>
      <c r="H72" s="68" t="str">
        <f>+TEXT(AF72,"# ##0")&amp;" kg"</f>
        <v>675 kg</v>
      </c>
      <c r="I72" s="67"/>
      <c r="J72" s="67"/>
      <c r="K72" s="69">
        <f t="shared" ref="K72:K80" si="18">+AH72</f>
        <v>5.5789316119432844E-2</v>
      </c>
      <c r="L72" s="70"/>
      <c r="M72" s="97"/>
      <c r="N72" s="152"/>
      <c r="O72" s="248"/>
      <c r="P72" s="95"/>
      <c r="Q72" s="288"/>
      <c r="R72" s="288"/>
      <c r="S72" s="288"/>
      <c r="T72" s="288"/>
      <c r="U72" s="288"/>
      <c r="V72" s="252"/>
      <c r="W72" s="243"/>
      <c r="X72" s="228"/>
      <c r="Y72" s="126"/>
      <c r="Z72" s="215"/>
      <c r="AA72" s="215"/>
      <c r="AB72" s="215"/>
      <c r="AC72" s="215"/>
      <c r="AD72" s="215"/>
      <c r="AE72" s="61"/>
      <c r="AF72" s="31">
        <f>+SUM(AE73:AE75)</f>
        <v>674.60069444444434</v>
      </c>
      <c r="AG72" s="22"/>
      <c r="AH72" s="65">
        <f>+AF72/$AH$3</f>
        <v>5.5789316119432844E-2</v>
      </c>
      <c r="AI72" s="65"/>
      <c r="AJ72" s="22"/>
      <c r="AK72" s="22"/>
    </row>
    <row r="73" spans="2:37" ht="14.25" customHeight="1" x14ac:dyDescent="0.2">
      <c r="B73" s="142"/>
      <c r="C73" s="143"/>
      <c r="D73" s="99"/>
      <c r="E73" s="71"/>
      <c r="F73" s="72" t="s">
        <v>76</v>
      </c>
      <c r="G73" s="73"/>
      <c r="H73" s="73"/>
      <c r="I73" s="73" t="str">
        <f t="shared" si="11"/>
        <v>492 kg</v>
      </c>
      <c r="J73" s="73"/>
      <c r="K73" s="74">
        <f t="shared" si="18"/>
        <v>4.0703070677815104E-2</v>
      </c>
      <c r="L73" s="75"/>
      <c r="M73" s="97"/>
      <c r="N73" s="152"/>
      <c r="O73" s="248"/>
      <c r="P73" s="217"/>
      <c r="Q73" s="277">
        <v>0</v>
      </c>
      <c r="R73" s="278">
        <f>5.3/31</f>
        <v>0.17096774193548386</v>
      </c>
      <c r="S73" s="300">
        <f>1-SUM(Q73:R73)</f>
        <v>0.82903225806451619</v>
      </c>
      <c r="T73" s="301">
        <v>0.1</v>
      </c>
      <c r="U73" s="302">
        <f>+S73-T73</f>
        <v>0.72903225806451621</v>
      </c>
      <c r="V73" s="342">
        <v>13</v>
      </c>
      <c r="W73" s="241"/>
      <c r="X73" s="228"/>
      <c r="Y73" s="126"/>
      <c r="Z73" s="215">
        <f t="shared" ref="Z73:AA76" si="19">+$AE73*Q73</f>
        <v>0</v>
      </c>
      <c r="AA73" s="215">
        <f t="shared" si="19"/>
        <v>84.146701388888872</v>
      </c>
      <c r="AB73" s="215"/>
      <c r="AC73" s="215">
        <f t="shared" ref="AC73:AD76" si="20">+$AE73*T73</f>
        <v>49.217881944444443</v>
      </c>
      <c r="AD73" s="215">
        <f t="shared" si="20"/>
        <v>358.81423611111114</v>
      </c>
      <c r="AE73" s="61">
        <f>+'calculs et données'!O85</f>
        <v>492.1788194444444</v>
      </c>
      <c r="AF73" s="31"/>
      <c r="AG73" s="22"/>
      <c r="AH73" s="50">
        <f>+AE73/$AH$3</f>
        <v>4.0703070677815104E-2</v>
      </c>
      <c r="AI73" s="50"/>
      <c r="AJ73" s="22"/>
      <c r="AK73" s="22"/>
    </row>
    <row r="74" spans="2:37" x14ac:dyDescent="0.2">
      <c r="B74" s="142"/>
      <c r="C74" s="143"/>
      <c r="D74" s="99"/>
      <c r="E74" s="71"/>
      <c r="F74" s="72" t="s">
        <v>77</v>
      </c>
      <c r="G74" s="73"/>
      <c r="H74" s="73"/>
      <c r="I74" s="73" t="str">
        <f>+TEXT(AE74,"# ##0")&amp;" kg"</f>
        <v>134 kg</v>
      </c>
      <c r="J74" s="73"/>
      <c r="K74" s="74">
        <f>+AH74</f>
        <v>1.1048171179942759E-2</v>
      </c>
      <c r="L74" s="75"/>
      <c r="M74" s="97"/>
      <c r="N74" s="152"/>
      <c r="O74" s="248"/>
      <c r="P74" s="218"/>
      <c r="Q74" s="279">
        <v>0</v>
      </c>
      <c r="R74" s="280">
        <v>0.7</v>
      </c>
      <c r="S74" s="290">
        <f>1-SUM(Q74:R74)</f>
        <v>0.30000000000000004</v>
      </c>
      <c r="T74" s="281">
        <v>0.1</v>
      </c>
      <c r="U74" s="282">
        <f>+S74-T74</f>
        <v>0.20000000000000004</v>
      </c>
      <c r="V74" s="343"/>
      <c r="W74" s="241"/>
      <c r="X74" s="228"/>
      <c r="Y74" s="126"/>
      <c r="Z74" s="215">
        <f t="shared" si="19"/>
        <v>0</v>
      </c>
      <c r="AA74" s="215">
        <f t="shared" si="19"/>
        <v>93.515625</v>
      </c>
      <c r="AB74" s="215"/>
      <c r="AC74" s="215">
        <f t="shared" si="20"/>
        <v>13.359375</v>
      </c>
      <c r="AD74" s="215">
        <f t="shared" si="20"/>
        <v>26.718750000000004</v>
      </c>
      <c r="AE74" s="61">
        <f>+'calculs et données'!O86</f>
        <v>133.59375</v>
      </c>
      <c r="AF74" s="31"/>
      <c r="AG74" s="22"/>
      <c r="AH74" s="50">
        <f>+AE74/$AH$3</f>
        <v>1.1048171179942759E-2</v>
      </c>
      <c r="AI74" s="50"/>
      <c r="AJ74" s="22"/>
      <c r="AK74" s="22"/>
    </row>
    <row r="75" spans="2:37" ht="13.5" thickBot="1" x14ac:dyDescent="0.25">
      <c r="B75" s="142"/>
      <c r="C75" s="143"/>
      <c r="D75" s="99"/>
      <c r="E75" s="76"/>
      <c r="F75" s="191" t="s">
        <v>167</v>
      </c>
      <c r="G75" s="78"/>
      <c r="H75" s="78"/>
      <c r="I75" s="78" t="str">
        <f t="shared" si="11"/>
        <v>49 kg</v>
      </c>
      <c r="J75" s="78"/>
      <c r="K75" s="79">
        <f t="shared" si="18"/>
        <v>4.0380742616749846E-3</v>
      </c>
      <c r="L75" s="80"/>
      <c r="M75" s="97"/>
      <c r="N75" s="152"/>
      <c r="O75" s="248"/>
      <c r="P75" s="219"/>
      <c r="Q75" s="283">
        <v>0</v>
      </c>
      <c r="R75" s="284">
        <v>0.7</v>
      </c>
      <c r="S75" s="291">
        <f>1-SUM(Q75:R75)</f>
        <v>0.30000000000000004</v>
      </c>
      <c r="T75" s="285">
        <v>0.1</v>
      </c>
      <c r="U75" s="286">
        <f>+S75-T75</f>
        <v>0.20000000000000004</v>
      </c>
      <c r="V75" s="344"/>
      <c r="W75" s="241"/>
      <c r="X75" s="228"/>
      <c r="Y75" s="126"/>
      <c r="Z75" s="215">
        <f t="shared" si="19"/>
        <v>0</v>
      </c>
      <c r="AA75" s="215">
        <f t="shared" si="19"/>
        <v>34.1796875</v>
      </c>
      <c r="AB75" s="215"/>
      <c r="AC75" s="215">
        <f t="shared" si="20"/>
        <v>4.8828125</v>
      </c>
      <c r="AD75" s="215">
        <f t="shared" si="20"/>
        <v>9.7656250000000018</v>
      </c>
      <c r="AE75" s="61">
        <f>+'calculs et données'!O87</f>
        <v>48.828125</v>
      </c>
      <c r="AF75" s="31"/>
      <c r="AG75" s="22"/>
      <c r="AH75" s="50">
        <f>+AE75/$AH$3</f>
        <v>4.0380742616749846E-3</v>
      </c>
      <c r="AI75" s="50"/>
      <c r="AJ75" s="22"/>
      <c r="AK75" s="22"/>
    </row>
    <row r="76" spans="2:37" ht="13.5" thickBot="1" x14ac:dyDescent="0.25">
      <c r="B76" s="142"/>
      <c r="C76" s="143"/>
      <c r="D76" s="99"/>
      <c r="E76" s="103"/>
      <c r="F76" s="104"/>
      <c r="G76" s="95"/>
      <c r="H76" s="95"/>
      <c r="I76" s="95"/>
      <c r="J76" s="95"/>
      <c r="K76" s="96"/>
      <c r="L76" s="95"/>
      <c r="M76" s="97"/>
      <c r="N76" s="152"/>
      <c r="O76" s="248"/>
      <c r="P76" s="95"/>
      <c r="Q76" s="288"/>
      <c r="R76" s="288"/>
      <c r="S76" s="288"/>
      <c r="T76" s="288"/>
      <c r="U76" s="288"/>
      <c r="V76" s="252"/>
      <c r="W76" s="243"/>
      <c r="X76" s="228"/>
      <c r="Y76" s="126"/>
      <c r="Z76" s="215">
        <f t="shared" si="19"/>
        <v>0</v>
      </c>
      <c r="AA76" s="215">
        <f t="shared" si="19"/>
        <v>0</v>
      </c>
      <c r="AB76" s="215"/>
      <c r="AC76" s="215">
        <f t="shared" si="20"/>
        <v>0</v>
      </c>
      <c r="AD76" s="215">
        <f t="shared" si="20"/>
        <v>0</v>
      </c>
      <c r="AE76" s="61"/>
      <c r="AF76" s="31"/>
      <c r="AG76" s="22"/>
      <c r="AH76" s="50"/>
      <c r="AI76" s="50"/>
      <c r="AJ76" s="22"/>
      <c r="AK76" s="22"/>
    </row>
    <row r="77" spans="2:37" x14ac:dyDescent="0.2">
      <c r="B77" s="142"/>
      <c r="C77" s="143"/>
      <c r="D77" s="99"/>
      <c r="E77" s="66" t="s">
        <v>78</v>
      </c>
      <c r="F77" s="67"/>
      <c r="G77" s="67"/>
      <c r="H77" s="68" t="str">
        <f>+TEXT(AF77,"# ##0")&amp;" kg"</f>
        <v>335 kg</v>
      </c>
      <c r="I77" s="67"/>
      <c r="J77" s="67"/>
      <c r="K77" s="69">
        <f t="shared" si="18"/>
        <v>2.7665818737898931E-2</v>
      </c>
      <c r="L77" s="70"/>
      <c r="M77" s="97"/>
      <c r="N77" s="152"/>
      <c r="O77" s="248"/>
      <c r="P77" s="217"/>
      <c r="Q77" s="277"/>
      <c r="R77" s="278"/>
      <c r="S77" s="289"/>
      <c r="T77" s="277"/>
      <c r="U77" s="278"/>
      <c r="V77" s="347">
        <v>14</v>
      </c>
      <c r="W77" s="243"/>
      <c r="X77" s="228"/>
      <c r="Y77" s="126"/>
      <c r="Z77" s="215"/>
      <c r="AA77" s="215"/>
      <c r="AB77" s="215"/>
      <c r="AC77" s="215"/>
      <c r="AD77" s="215"/>
      <c r="AE77" s="61"/>
      <c r="AF77" s="31">
        <f>+SUM(AE78:AE80)</f>
        <v>334.53323738556833</v>
      </c>
      <c r="AG77" s="22"/>
      <c r="AH77" s="65">
        <f>+AF77/$AH$3</f>
        <v>2.7665818737898931E-2</v>
      </c>
      <c r="AI77" s="65"/>
      <c r="AJ77" s="22"/>
      <c r="AK77" s="22"/>
    </row>
    <row r="78" spans="2:37" x14ac:dyDescent="0.2">
      <c r="B78" s="142"/>
      <c r="C78" s="143"/>
      <c r="D78" s="99"/>
      <c r="E78" s="71"/>
      <c r="F78" s="72" t="s">
        <v>54</v>
      </c>
      <c r="G78" s="73"/>
      <c r="H78" s="73"/>
      <c r="I78" s="73" t="str">
        <f t="shared" si="11"/>
        <v>157 kg</v>
      </c>
      <c r="J78" s="73"/>
      <c r="K78" s="74">
        <f t="shared" si="18"/>
        <v>1.3021179681905491E-2</v>
      </c>
      <c r="L78" s="75"/>
      <c r="M78" s="97"/>
      <c r="N78" s="152"/>
      <c r="O78" s="248"/>
      <c r="P78" s="218"/>
      <c r="Q78" s="279">
        <v>0</v>
      </c>
      <c r="R78" s="280">
        <v>0.2</v>
      </c>
      <c r="S78" s="290">
        <f>1-SUM(Q78:R78)</f>
        <v>0.8</v>
      </c>
      <c r="T78" s="281">
        <v>0.1</v>
      </c>
      <c r="U78" s="282">
        <f>+S78-T78</f>
        <v>0.70000000000000007</v>
      </c>
      <c r="V78" s="352"/>
      <c r="W78" s="241"/>
      <c r="X78" s="228"/>
      <c r="Y78" s="126"/>
      <c r="Z78" s="215">
        <f t="shared" ref="Z78:AA80" si="21">+$AE78*Q78</f>
        <v>0</v>
      </c>
      <c r="AA78" s="215">
        <f t="shared" si="21"/>
        <v>31.490247477113662</v>
      </c>
      <c r="AB78" s="215"/>
      <c r="AC78" s="215">
        <f t="shared" ref="AC78:AD80" si="22">+$AE78*T78</f>
        <v>15.745123738556831</v>
      </c>
      <c r="AD78" s="215">
        <f t="shared" si="22"/>
        <v>110.21586616989782</v>
      </c>
      <c r="AE78" s="61">
        <f>+'calculs et données'!O90</f>
        <v>157.45123738556831</v>
      </c>
      <c r="AF78" s="31"/>
      <c r="AG78" s="22"/>
      <c r="AH78" s="50">
        <f>+AE78/$AH$3</f>
        <v>1.3021179681905491E-2</v>
      </c>
      <c r="AI78" s="50"/>
      <c r="AJ78" s="22"/>
      <c r="AK78" s="22"/>
    </row>
    <row r="79" spans="2:37" x14ac:dyDescent="0.2">
      <c r="B79" s="142"/>
      <c r="C79" s="143"/>
      <c r="D79" s="99"/>
      <c r="E79" s="71"/>
      <c r="F79" s="72" t="s">
        <v>55</v>
      </c>
      <c r="G79" s="73"/>
      <c r="H79" s="73"/>
      <c r="I79" s="73" t="str">
        <f t="shared" si="11"/>
        <v>120 kg</v>
      </c>
      <c r="J79" s="73"/>
      <c r="K79" s="74">
        <f t="shared" si="18"/>
        <v>9.8950263891847568E-3</v>
      </c>
      <c r="L79" s="75"/>
      <c r="M79" s="97"/>
      <c r="N79" s="152"/>
      <c r="O79" s="248"/>
      <c r="P79" s="218"/>
      <c r="Q79" s="279">
        <v>0</v>
      </c>
      <c r="R79" s="280">
        <v>0.2</v>
      </c>
      <c r="S79" s="290">
        <f>1-SUM(Q79:R79)</f>
        <v>0.8</v>
      </c>
      <c r="T79" s="281">
        <v>0.1</v>
      </c>
      <c r="U79" s="282">
        <f>+S79-T79</f>
        <v>0.70000000000000007</v>
      </c>
      <c r="V79" s="352"/>
      <c r="W79" s="241"/>
      <c r="X79" s="228"/>
      <c r="Y79" s="126"/>
      <c r="Z79" s="215">
        <f t="shared" si="21"/>
        <v>0</v>
      </c>
      <c r="AA79" s="215">
        <f t="shared" si="21"/>
        <v>23.930000000000003</v>
      </c>
      <c r="AB79" s="215"/>
      <c r="AC79" s="215">
        <f t="shared" si="22"/>
        <v>11.965000000000002</v>
      </c>
      <c r="AD79" s="215">
        <f t="shared" si="22"/>
        <v>83.75500000000001</v>
      </c>
      <c r="AE79" s="61">
        <f>+'calculs et données'!O91</f>
        <v>119.65</v>
      </c>
      <c r="AF79" s="31"/>
      <c r="AG79" s="22"/>
      <c r="AH79" s="50">
        <f>+AE79/$AH$3</f>
        <v>9.8950263891847568E-3</v>
      </c>
      <c r="AI79" s="50"/>
      <c r="AJ79" s="22"/>
      <c r="AK79" s="22"/>
    </row>
    <row r="80" spans="2:37" ht="13.5" thickBot="1" x14ac:dyDescent="0.25">
      <c r="B80" s="142"/>
      <c r="C80" s="143"/>
      <c r="D80" s="99"/>
      <c r="E80" s="76"/>
      <c r="F80" s="77" t="s">
        <v>56</v>
      </c>
      <c r="G80" s="78"/>
      <c r="H80" s="78"/>
      <c r="I80" s="78" t="str">
        <f t="shared" si="11"/>
        <v>57 kg</v>
      </c>
      <c r="J80" s="78"/>
      <c r="K80" s="79">
        <f t="shared" si="18"/>
        <v>4.7496126668086832E-3</v>
      </c>
      <c r="L80" s="80"/>
      <c r="M80" s="97"/>
      <c r="N80" s="152"/>
      <c r="O80" s="248"/>
      <c r="P80" s="219"/>
      <c r="Q80" s="283">
        <v>0</v>
      </c>
      <c r="R80" s="284">
        <v>0.2</v>
      </c>
      <c r="S80" s="291">
        <f>1-SUM(Q80:R80)</f>
        <v>0.8</v>
      </c>
      <c r="T80" s="285">
        <v>0.1</v>
      </c>
      <c r="U80" s="286">
        <f>+S80-T80</f>
        <v>0.70000000000000007</v>
      </c>
      <c r="V80" s="348"/>
      <c r="W80" s="241"/>
      <c r="X80" s="228"/>
      <c r="Y80" s="126"/>
      <c r="Z80" s="215">
        <f t="shared" si="21"/>
        <v>0</v>
      </c>
      <c r="AA80" s="215">
        <f t="shared" si="21"/>
        <v>11.4864</v>
      </c>
      <c r="AB80" s="215"/>
      <c r="AC80" s="215">
        <f t="shared" si="22"/>
        <v>5.7431999999999999</v>
      </c>
      <c r="AD80" s="215">
        <f t="shared" si="22"/>
        <v>40.202399999999997</v>
      </c>
      <c r="AE80" s="61">
        <f>+'calculs et données'!O92</f>
        <v>57.431999999999995</v>
      </c>
      <c r="AF80" s="31"/>
      <c r="AG80" s="22"/>
      <c r="AH80" s="50">
        <f>+AE80/$AH$3</f>
        <v>4.7496126668086832E-3</v>
      </c>
      <c r="AI80" s="50"/>
      <c r="AJ80" s="22"/>
      <c r="AK80" s="22"/>
    </row>
    <row r="81" spans="2:53" ht="13.5" thickBot="1" x14ac:dyDescent="0.25">
      <c r="B81" s="142"/>
      <c r="C81" s="143"/>
      <c r="D81" s="117"/>
      <c r="E81" s="118"/>
      <c r="F81" s="120"/>
      <c r="G81" s="120"/>
      <c r="H81" s="120"/>
      <c r="I81" s="120"/>
      <c r="J81" s="120"/>
      <c r="K81" s="120"/>
      <c r="L81" s="120"/>
      <c r="M81" s="121"/>
      <c r="N81" s="152"/>
      <c r="O81" s="235"/>
      <c r="P81" s="236"/>
      <c r="Q81" s="237"/>
      <c r="R81" s="237"/>
      <c r="S81" s="237"/>
      <c r="T81" s="237"/>
      <c r="U81" s="237"/>
      <c r="V81" s="236"/>
      <c r="W81" s="261"/>
      <c r="X81" s="152"/>
      <c r="AE81" s="43"/>
      <c r="AF81" s="44"/>
      <c r="AG81" s="22"/>
      <c r="AH81" s="22"/>
      <c r="AI81" s="22"/>
      <c r="AJ81" s="22"/>
      <c r="AK81" s="22"/>
    </row>
    <row r="82" spans="2:53" ht="14.25" thickTop="1" thickBot="1" x14ac:dyDescent="0.25">
      <c r="B82" s="145"/>
      <c r="C82" s="146"/>
      <c r="D82" s="155"/>
      <c r="E82" s="155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154"/>
    </row>
    <row r="83" spans="2:53" ht="13.5" thickTop="1" x14ac:dyDescent="0.2"/>
    <row r="86" spans="2:53" x14ac:dyDescent="0.2">
      <c r="BA86" s="10" t="s">
        <v>115</v>
      </c>
    </row>
  </sheetData>
  <mergeCells count="15">
    <mergeCell ref="V77:V80"/>
    <mergeCell ref="V64:V70"/>
    <mergeCell ref="V11:V13"/>
    <mergeCell ref="V73:V75"/>
    <mergeCell ref="Q4:R4"/>
    <mergeCell ref="T4:U4"/>
    <mergeCell ref="V15:V16"/>
    <mergeCell ref="V18:V23"/>
    <mergeCell ref="V25:V30"/>
    <mergeCell ref="V46:V48"/>
    <mergeCell ref="D3:F7"/>
    <mergeCell ref="G3:M7"/>
    <mergeCell ref="Q3:V3"/>
    <mergeCell ref="V4:V7"/>
    <mergeCell ref="V37:V41"/>
  </mergeCells>
  <pageMargins left="0.25" right="0.25" top="0.75" bottom="0.75" header="0.3" footer="0.3"/>
  <pageSetup paperSize="9" scale="9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I7"/>
  <sheetViews>
    <sheetView workbookViewId="0">
      <selection activeCell="D9" sqref="D9"/>
    </sheetView>
  </sheetViews>
  <sheetFormatPr baseColWidth="10" defaultRowHeight="12.75" x14ac:dyDescent="0.2"/>
  <cols>
    <col min="5" max="5" width="27" bestFit="1" customWidth="1"/>
  </cols>
  <sheetData>
    <row r="3" spans="5:9" ht="13.5" thickBot="1" x14ac:dyDescent="0.25"/>
    <row r="4" spans="5:9" x14ac:dyDescent="0.2">
      <c r="E4" s="313" t="s">
        <v>169</v>
      </c>
      <c r="F4" s="314">
        <f>+'tableau maslow'!Q7</f>
        <v>0.15994715960335243</v>
      </c>
      <c r="G4" s="315">
        <f>-F4</f>
        <v>-0.15994715960335243</v>
      </c>
      <c r="H4" s="316" t="str">
        <f>+TEXT(I4,"# ##0")&amp;" kg"</f>
        <v>1 934 kg</v>
      </c>
      <c r="I4" s="307">
        <f>+'tableau maslow'!Z4</f>
        <v>1934.0703999999998</v>
      </c>
    </row>
    <row r="5" spans="5:9" x14ac:dyDescent="0.2">
      <c r="E5" s="192" t="s">
        <v>187</v>
      </c>
      <c r="F5" s="28">
        <f>+'tableau maslow'!R7</f>
        <v>0.19303621304924959</v>
      </c>
      <c r="G5" s="317">
        <f>-F5</f>
        <v>-0.19303621304924959</v>
      </c>
      <c r="H5" s="212" t="str">
        <f>+TEXT(I5,"# ##0")&amp;" kg"</f>
        <v>2 334 kg</v>
      </c>
      <c r="I5" s="131">
        <f>+'tableau maslow'!AA4</f>
        <v>2334.1810302383274</v>
      </c>
    </row>
    <row r="6" spans="5:9" x14ac:dyDescent="0.2">
      <c r="E6" s="192" t="s">
        <v>188</v>
      </c>
      <c r="F6" s="28">
        <f>+'tableau maslow'!T7</f>
        <v>0.22035558291410312</v>
      </c>
      <c r="G6" s="317">
        <f>-F6</f>
        <v>-0.22035558291410312</v>
      </c>
      <c r="H6" s="212" t="str">
        <f>+TEXT(I6,"# ##0")&amp;" kg"</f>
        <v>2 665 kg</v>
      </c>
      <c r="I6" s="131">
        <f>+'tableau maslow'!AC4</f>
        <v>2664.5250309276512</v>
      </c>
    </row>
    <row r="7" spans="5:9" ht="13.5" thickBot="1" x14ac:dyDescent="0.25">
      <c r="E7" s="318" t="s">
        <v>189</v>
      </c>
      <c r="F7" s="319">
        <f>+'tableau maslow'!U7</f>
        <v>0.42666104443329494</v>
      </c>
      <c r="G7" s="320">
        <f>-F7</f>
        <v>-0.42666104443329494</v>
      </c>
      <c r="H7" s="321" t="str">
        <f>+TEXT(I7,"# ##0")&amp;" kg"</f>
        <v>5 159 kg</v>
      </c>
      <c r="I7" s="134">
        <f>+'tableau maslow'!AD4</f>
        <v>5159.1569298128679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4"/>
  <sheetViews>
    <sheetView workbookViewId="0">
      <selection activeCell="B4" sqref="B4:C14"/>
    </sheetView>
  </sheetViews>
  <sheetFormatPr baseColWidth="10" defaultRowHeight="12.75" x14ac:dyDescent="0.2"/>
  <cols>
    <col min="2" max="2" width="5" style="231" customWidth="1"/>
    <col min="3" max="3" width="65.42578125" style="229" customWidth="1"/>
  </cols>
  <sheetData>
    <row r="3" spans="2:3" ht="13.5" thickBot="1" x14ac:dyDescent="0.25"/>
    <row r="4" spans="2:3" ht="26.25" thickBot="1" x14ac:dyDescent="0.25">
      <c r="B4" s="233">
        <v>1</v>
      </c>
      <c r="C4" s="216" t="s">
        <v>192</v>
      </c>
    </row>
    <row r="5" spans="2:3" ht="26.25" thickBot="1" x14ac:dyDescent="0.25">
      <c r="B5" s="233">
        <v>2</v>
      </c>
      <c r="C5" s="276" t="s">
        <v>193</v>
      </c>
    </row>
    <row r="6" spans="2:3" ht="90" thickBot="1" x14ac:dyDescent="0.25">
      <c r="B6" s="233">
        <v>3</v>
      </c>
      <c r="C6" s="216" t="s">
        <v>190</v>
      </c>
    </row>
    <row r="7" spans="2:3" ht="84.75" thickBot="1" x14ac:dyDescent="0.25">
      <c r="B7" s="233">
        <v>4</v>
      </c>
      <c r="C7" s="230" t="s">
        <v>174</v>
      </c>
    </row>
    <row r="8" spans="2:3" ht="13.5" thickBot="1" x14ac:dyDescent="0.25">
      <c r="B8" s="233">
        <v>5</v>
      </c>
      <c r="C8" s="216" t="s">
        <v>182</v>
      </c>
    </row>
    <row r="9" spans="2:3" ht="64.5" thickBot="1" x14ac:dyDescent="0.25">
      <c r="B9" s="233">
        <v>6</v>
      </c>
      <c r="C9" s="216" t="s">
        <v>175</v>
      </c>
    </row>
    <row r="10" spans="2:3" ht="26.25" thickBot="1" x14ac:dyDescent="0.25">
      <c r="B10" s="233">
        <v>7</v>
      </c>
      <c r="C10" s="276" t="s">
        <v>191</v>
      </c>
    </row>
    <row r="11" spans="2:3" ht="90" thickBot="1" x14ac:dyDescent="0.25">
      <c r="B11" s="233">
        <v>11</v>
      </c>
      <c r="C11" s="216" t="s">
        <v>183</v>
      </c>
    </row>
    <row r="12" spans="2:3" ht="102.75" thickBot="1" x14ac:dyDescent="0.25">
      <c r="B12" s="233">
        <v>12</v>
      </c>
      <c r="C12" s="216" t="s">
        <v>180</v>
      </c>
    </row>
    <row r="13" spans="2:3" ht="51.75" thickBot="1" x14ac:dyDescent="0.25">
      <c r="B13" s="233">
        <v>13</v>
      </c>
      <c r="C13" s="216" t="s">
        <v>181</v>
      </c>
    </row>
    <row r="14" spans="2:3" ht="26.25" thickBot="1" x14ac:dyDescent="0.25">
      <c r="B14" s="233">
        <v>14</v>
      </c>
      <c r="C14" s="275" t="s">
        <v>172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23"/>
  <sheetViews>
    <sheetView zoomScale="85" zoomScaleNormal="85" workbookViewId="0">
      <selection activeCell="F11" sqref="F11"/>
    </sheetView>
  </sheetViews>
  <sheetFormatPr baseColWidth="10" defaultRowHeight="12.75" x14ac:dyDescent="0.2"/>
  <cols>
    <col min="1" max="1" width="9" customWidth="1"/>
    <col min="2" max="2" width="8" customWidth="1"/>
    <col min="3" max="3" width="26.42578125" bestFit="1" customWidth="1"/>
    <col min="4" max="4" width="8" customWidth="1"/>
  </cols>
  <sheetData>
    <row r="3" spans="2:8" ht="13.5" thickBot="1" x14ac:dyDescent="0.25"/>
    <row r="4" spans="2:8" ht="49.5" x14ac:dyDescent="0.2">
      <c r="B4" s="303" t="s">
        <v>117</v>
      </c>
      <c r="C4" s="135" t="s">
        <v>118</v>
      </c>
      <c r="D4" s="127" t="s">
        <v>60</v>
      </c>
      <c r="E4" s="127" t="s">
        <v>67</v>
      </c>
      <c r="F4" s="128" t="s">
        <v>124</v>
      </c>
      <c r="G4" s="127" t="s">
        <v>5</v>
      </c>
      <c r="H4" s="129" t="s">
        <v>63</v>
      </c>
    </row>
    <row r="5" spans="2:8" x14ac:dyDescent="0.2">
      <c r="B5" s="304">
        <f t="shared" ref="B5:B19" si="0">+MAX(D5:H5)</f>
        <v>1143.7</v>
      </c>
      <c r="C5" s="130" t="s">
        <v>120</v>
      </c>
      <c r="D5" s="27"/>
      <c r="E5" s="27"/>
      <c r="F5" s="27"/>
      <c r="G5" s="27">
        <v>1143.7</v>
      </c>
      <c r="H5" s="312"/>
    </row>
    <row r="6" spans="2:8" x14ac:dyDescent="0.2">
      <c r="B6" s="304">
        <f t="shared" si="0"/>
        <v>537.95499999999993</v>
      </c>
      <c r="C6" s="130" t="s">
        <v>6</v>
      </c>
      <c r="D6" s="27"/>
      <c r="E6" s="27"/>
      <c r="F6" s="27"/>
      <c r="G6" s="27">
        <v>537.95499999999993</v>
      </c>
      <c r="H6" s="312"/>
    </row>
    <row r="7" spans="2:8" x14ac:dyDescent="0.2">
      <c r="B7" s="304">
        <f t="shared" si="0"/>
        <v>408.17999999999995</v>
      </c>
      <c r="C7" s="130" t="s">
        <v>103</v>
      </c>
      <c r="D7" s="27"/>
      <c r="E7" s="27"/>
      <c r="F7" s="27"/>
      <c r="G7" s="27">
        <v>408.17999999999995</v>
      </c>
      <c r="H7" s="312"/>
    </row>
    <row r="8" spans="2:8" x14ac:dyDescent="0.2">
      <c r="B8" s="304">
        <f t="shared" si="0"/>
        <v>262.77699999999999</v>
      </c>
      <c r="C8" s="130" t="s">
        <v>100</v>
      </c>
      <c r="D8" s="27"/>
      <c r="E8" s="27"/>
      <c r="F8" s="27"/>
      <c r="G8" s="27">
        <v>262.77699999999999</v>
      </c>
      <c r="H8" s="312"/>
    </row>
    <row r="9" spans="2:8" s="138" customFormat="1" x14ac:dyDescent="0.2">
      <c r="B9" s="304">
        <f t="shared" si="0"/>
        <v>1179.732059148834</v>
      </c>
      <c r="C9" s="192" t="s">
        <v>154</v>
      </c>
      <c r="D9" s="27"/>
      <c r="E9" s="27"/>
      <c r="F9" s="27">
        <f>+'calculs et données'!P52</f>
        <v>1179.732059148834</v>
      </c>
      <c r="G9" s="27"/>
      <c r="H9" s="312"/>
    </row>
    <row r="10" spans="2:8" x14ac:dyDescent="0.2">
      <c r="B10" s="304">
        <f t="shared" si="0"/>
        <v>682.44960000000003</v>
      </c>
      <c r="C10" s="130" t="s">
        <v>123</v>
      </c>
      <c r="D10" s="27"/>
      <c r="E10" s="27"/>
      <c r="F10" s="27">
        <f>+'calculs et données'!P54</f>
        <v>682.44960000000003</v>
      </c>
      <c r="G10" s="27"/>
      <c r="H10" s="312"/>
    </row>
    <row r="11" spans="2:8" x14ac:dyDescent="0.2">
      <c r="B11" s="304">
        <f t="shared" si="0"/>
        <v>763.36699999999996</v>
      </c>
      <c r="C11" s="130" t="s">
        <v>46</v>
      </c>
      <c r="D11" s="27"/>
      <c r="E11" s="27"/>
      <c r="F11" s="27">
        <v>763.36699999999996</v>
      </c>
      <c r="G11" s="27"/>
      <c r="H11" s="312"/>
    </row>
    <row r="12" spans="2:8" x14ac:dyDescent="0.2">
      <c r="B12" s="304">
        <f t="shared" si="0"/>
        <v>1972.3312000000003</v>
      </c>
      <c r="C12" s="130" t="s">
        <v>61</v>
      </c>
      <c r="D12" s="27">
        <v>1972.3312000000003</v>
      </c>
      <c r="E12" s="27"/>
      <c r="F12" s="27"/>
      <c r="G12" s="27"/>
      <c r="H12" s="312"/>
    </row>
    <row r="13" spans="2:8" x14ac:dyDescent="0.2">
      <c r="B13" s="304">
        <f t="shared" si="0"/>
        <v>479.71799999999996</v>
      </c>
      <c r="C13" s="130" t="s">
        <v>62</v>
      </c>
      <c r="D13" s="27">
        <v>479.71799999999996</v>
      </c>
      <c r="E13" s="27"/>
      <c r="F13" s="27"/>
      <c r="G13" s="27"/>
      <c r="H13" s="312"/>
    </row>
    <row r="14" spans="2:8" x14ac:dyDescent="0.2">
      <c r="B14" s="304">
        <f t="shared" si="0"/>
        <v>382.88</v>
      </c>
      <c r="C14" s="130" t="s">
        <v>122</v>
      </c>
      <c r="D14" s="27">
        <v>382.88</v>
      </c>
      <c r="E14" s="27"/>
      <c r="F14" s="27"/>
      <c r="G14" s="27"/>
      <c r="H14" s="312"/>
    </row>
    <row r="15" spans="2:8" x14ac:dyDescent="0.2">
      <c r="B15" s="304">
        <f t="shared" si="0"/>
        <v>84.547999999999988</v>
      </c>
      <c r="C15" s="132" t="s">
        <v>119</v>
      </c>
      <c r="D15" s="27">
        <v>84.547999999999988</v>
      </c>
      <c r="E15" s="27"/>
      <c r="F15" s="27"/>
      <c r="G15" s="27"/>
      <c r="H15" s="312"/>
    </row>
    <row r="16" spans="2:8" x14ac:dyDescent="0.2">
      <c r="B16" s="304">
        <f t="shared" si="0"/>
        <v>1489.1615999999999</v>
      </c>
      <c r="C16" s="130" t="s">
        <v>99</v>
      </c>
      <c r="D16" s="27"/>
      <c r="E16" s="27"/>
      <c r="F16" s="27"/>
      <c r="G16" s="27"/>
      <c r="H16" s="312">
        <v>1489.1615999999999</v>
      </c>
    </row>
    <row r="17" spans="2:20" x14ac:dyDescent="0.2">
      <c r="B17" s="304">
        <f t="shared" si="0"/>
        <v>1696.0000000000002</v>
      </c>
      <c r="C17" s="130" t="s">
        <v>109</v>
      </c>
      <c r="D17" s="27"/>
      <c r="E17" s="27">
        <v>1696.0000000000002</v>
      </c>
      <c r="F17" s="27"/>
      <c r="G17" s="27"/>
      <c r="H17" s="312"/>
    </row>
    <row r="18" spans="2:20" x14ac:dyDescent="0.2">
      <c r="B18" s="304">
        <f t="shared" si="0"/>
        <v>674.60069444444434</v>
      </c>
      <c r="C18" s="130" t="s">
        <v>112</v>
      </c>
      <c r="D18" s="27"/>
      <c r="E18" s="27">
        <v>674.60069444444434</v>
      </c>
      <c r="F18" s="27"/>
      <c r="G18" s="27"/>
      <c r="H18" s="312"/>
    </row>
    <row r="19" spans="2:20" ht="13.5" thickBot="1" x14ac:dyDescent="0.25">
      <c r="B19" s="305">
        <f t="shared" si="0"/>
        <v>334.53323738556833</v>
      </c>
      <c r="C19" s="308" t="s">
        <v>78</v>
      </c>
      <c r="D19" s="407"/>
      <c r="E19" s="407">
        <v>334.53323738556833</v>
      </c>
      <c r="F19" s="407"/>
      <c r="G19" s="407"/>
      <c r="H19" s="408"/>
    </row>
    <row r="21" spans="2:20" ht="13.5" thickBot="1" x14ac:dyDescent="0.25"/>
    <row r="22" spans="2:20" x14ac:dyDescent="0.2">
      <c r="C22" s="306"/>
      <c r="D22" s="311">
        <f>+SUM(D5:D21)</f>
        <v>2919.4772000000003</v>
      </c>
      <c r="E22" s="311">
        <f>+SUM(E5:E21)</f>
        <v>2705.1339318300124</v>
      </c>
      <c r="F22" s="311">
        <f>+SUM(F5:F21)</f>
        <v>2625.5486591488343</v>
      </c>
      <c r="G22" s="311">
        <f>+SUM(G5:G21)</f>
        <v>2352.6120000000001</v>
      </c>
      <c r="H22" s="311">
        <f>+SUM(H5:H21)</f>
        <v>1489.1615999999999</v>
      </c>
      <c r="I22" s="310">
        <f>+SUM(D22:H22)</f>
        <v>12091.933390978847</v>
      </c>
      <c r="T22" s="10" t="s">
        <v>115</v>
      </c>
    </row>
    <row r="23" spans="2:20" ht="13.5" thickBot="1" x14ac:dyDescent="0.25">
      <c r="C23" s="308"/>
      <c r="D23" s="133"/>
      <c r="E23" s="133"/>
      <c r="F23" s="133"/>
      <c r="G23" s="133"/>
      <c r="H23" s="133"/>
      <c r="I23" s="309">
        <f>+'calculs et données'!Q4</f>
        <v>12091.933390978846</v>
      </c>
    </row>
  </sheetData>
  <pageMargins left="0.25" right="0.25" top="0.75" bottom="0.75" header="0.3" footer="0.3"/>
  <pageSetup paperSize="9" scale="9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F79"/>
  <sheetViews>
    <sheetView zoomScaleNormal="100" workbookViewId="0">
      <pane xSplit="6" ySplit="4" topLeftCell="G5" activePane="bottomRight" state="frozen"/>
      <selection pane="topRight" activeCell="F1" sqref="F1"/>
      <selection pane="bottomLeft" activeCell="A5" sqref="A5"/>
      <selection pane="bottomRight" activeCell="C5" sqref="C5:Y44"/>
    </sheetView>
  </sheetViews>
  <sheetFormatPr baseColWidth="10" defaultRowHeight="12.75" x14ac:dyDescent="0.2"/>
  <cols>
    <col min="1" max="2" width="3.140625" customWidth="1"/>
    <col min="3" max="3" width="3.140625" style="1" customWidth="1"/>
    <col min="4" max="4" width="2.42578125" style="64" customWidth="1"/>
    <col min="5" max="5" width="3" style="2" customWidth="1"/>
    <col min="6" max="6" width="28.140625" customWidth="1"/>
    <col min="7" max="7" width="3" customWidth="1"/>
    <col min="8" max="8" width="2.85546875" customWidth="1"/>
    <col min="9" max="9" width="6.5703125" bestFit="1" customWidth="1"/>
    <col min="10" max="10" width="2.140625" customWidth="1"/>
    <col min="11" max="11" width="7.7109375" customWidth="1"/>
    <col min="12" max="12" width="1.28515625" customWidth="1"/>
    <col min="13" max="13" width="1.85546875" customWidth="1"/>
    <col min="14" max="14" width="3.140625" style="29" customWidth="1"/>
    <col min="15" max="15" width="2.42578125" style="64" customWidth="1"/>
    <col min="16" max="16" width="3" style="2" customWidth="1"/>
    <col min="17" max="17" width="28.140625" customWidth="1"/>
    <col min="18" max="18" width="3" customWidth="1"/>
    <col min="19" max="19" width="2.85546875" customWidth="1"/>
    <col min="20" max="20" width="6.5703125" bestFit="1" customWidth="1"/>
    <col min="21" max="21" width="2.140625" customWidth="1"/>
    <col min="22" max="22" width="7.7109375" customWidth="1"/>
    <col min="23" max="23" width="1.28515625" customWidth="1"/>
    <col min="24" max="24" width="1.85546875" customWidth="1"/>
    <col min="25" max="25" width="3.140625" style="29" customWidth="1"/>
    <col min="26" max="26" width="15.28515625" style="29" customWidth="1"/>
    <col min="27" max="27" width="7" style="5" bestFit="1" customWidth="1"/>
    <col min="28" max="28" width="7.140625" style="4" customWidth="1"/>
    <col min="29" max="29" width="8" bestFit="1" customWidth="1"/>
    <col min="30" max="32" width="8" customWidth="1"/>
  </cols>
  <sheetData>
    <row r="1" spans="3:32" ht="13.5" thickBot="1" x14ac:dyDescent="0.25"/>
    <row r="2" spans="3:32" x14ac:dyDescent="0.2">
      <c r="AA2" s="5">
        <v>2016</v>
      </c>
      <c r="AB2" s="7">
        <v>2015</v>
      </c>
    </row>
    <row r="3" spans="3:32" ht="13.5" thickBot="1" x14ac:dyDescent="0.25">
      <c r="Q3" s="210"/>
      <c r="AB3" s="11">
        <v>11900</v>
      </c>
      <c r="AC3" s="124">
        <f>+'calculs et données'!Q4</f>
        <v>12091.933390978846</v>
      </c>
    </row>
    <row r="4" spans="3:32" ht="14.25" thickTop="1" thickBot="1" x14ac:dyDescent="0.25">
      <c r="AA4" s="5">
        <v>12800</v>
      </c>
      <c r="AB4" s="4">
        <f>+AB6+AB30+AB34+AB41+AB54+AB59</f>
        <v>5814.2255999999998</v>
      </c>
      <c r="AC4" s="125">
        <f>+SUM(AC6:AC78)</f>
        <v>12091.933390978846</v>
      </c>
      <c r="AD4" s="12">
        <f>+AC4/$AC$4</f>
        <v>1</v>
      </c>
      <c r="AE4" s="12"/>
      <c r="AF4" s="12"/>
    </row>
    <row r="5" spans="3:32" s="137" customFormat="1" ht="14.25" thickTop="1" thickBot="1" x14ac:dyDescent="0.25">
      <c r="C5" s="163"/>
      <c r="D5" s="164"/>
      <c r="E5" s="164"/>
      <c r="F5" s="165"/>
      <c r="G5" s="165"/>
      <c r="H5" s="165"/>
      <c r="I5" s="165"/>
      <c r="J5" s="165"/>
      <c r="K5" s="165"/>
      <c r="L5" s="165"/>
      <c r="M5" s="165"/>
      <c r="N5" s="165"/>
      <c r="O5" s="164"/>
      <c r="P5" s="164"/>
      <c r="Q5" s="165"/>
      <c r="R5" s="165"/>
      <c r="S5" s="165"/>
      <c r="T5" s="165"/>
      <c r="U5" s="165"/>
      <c r="V5" s="165"/>
      <c r="W5" s="165"/>
      <c r="X5" s="165"/>
      <c r="Y5" s="166"/>
      <c r="Z5" s="29"/>
      <c r="AA5" s="5"/>
      <c r="AB5" s="136"/>
      <c r="AC5" s="162"/>
      <c r="AD5" s="12"/>
      <c r="AE5" s="12"/>
      <c r="AF5" s="12"/>
    </row>
    <row r="6" spans="3:32" ht="12.75" customHeight="1" thickTop="1" x14ac:dyDescent="0.2">
      <c r="C6" s="167"/>
      <c r="D6" s="356" t="s">
        <v>165</v>
      </c>
      <c r="E6" s="357"/>
      <c r="F6" s="357"/>
      <c r="G6" s="357"/>
      <c r="H6" s="357"/>
      <c r="I6" s="353" t="str">
        <f>+TEXT(AC4,"# ##0")&amp;" kg"</f>
        <v>12 092 kg</v>
      </c>
      <c r="J6" s="353"/>
      <c r="K6" s="353"/>
      <c r="L6" s="90"/>
      <c r="M6" s="91"/>
      <c r="N6" s="172"/>
      <c r="O6" s="105" t="s">
        <v>67</v>
      </c>
      <c r="P6" s="106"/>
      <c r="Q6" s="107"/>
      <c r="R6" s="108" t="str">
        <f>+TEXT(AC59,"# ##0")&amp;" kg"</f>
        <v>2 705 kg</v>
      </c>
      <c r="S6" s="107"/>
      <c r="T6" s="107"/>
      <c r="U6" s="107"/>
      <c r="V6" s="109">
        <f>+AD59</f>
        <v>0.22371392930829165</v>
      </c>
      <c r="W6" s="90"/>
      <c r="X6" s="91"/>
      <c r="Y6" s="174"/>
      <c r="AA6" s="18"/>
      <c r="AB6" s="19"/>
      <c r="AC6" s="20">
        <f>+SUM(AA9:AA29)</f>
        <v>2352.6119999999996</v>
      </c>
      <c r="AD6" s="21">
        <f>+AC6/$AC$4</f>
        <v>0.19456044984130988</v>
      </c>
      <c r="AE6" s="22"/>
      <c r="AF6" s="22"/>
    </row>
    <row r="7" spans="3:32" ht="12.75" customHeight="1" thickBot="1" x14ac:dyDescent="0.25">
      <c r="C7" s="167"/>
      <c r="D7" s="358"/>
      <c r="E7" s="359"/>
      <c r="F7" s="359"/>
      <c r="G7" s="359"/>
      <c r="H7" s="359"/>
      <c r="I7" s="354"/>
      <c r="J7" s="354"/>
      <c r="K7" s="354"/>
      <c r="L7" s="95"/>
      <c r="M7" s="97"/>
      <c r="N7" s="172"/>
      <c r="O7" s="98"/>
      <c r="P7" s="103"/>
      <c r="Q7" s="104"/>
      <c r="R7" s="94"/>
      <c r="S7" s="95"/>
      <c r="T7" s="95"/>
      <c r="U7" s="95"/>
      <c r="V7" s="95"/>
      <c r="W7" s="95"/>
      <c r="X7" s="97"/>
      <c r="Y7" s="174"/>
      <c r="AA7" s="30"/>
      <c r="AB7" s="89"/>
      <c r="AC7" s="20"/>
      <c r="AD7" s="21"/>
      <c r="AE7" s="22"/>
      <c r="AF7" s="22"/>
    </row>
    <row r="8" spans="3:32" ht="12.75" customHeight="1" thickBot="1" x14ac:dyDescent="0.25">
      <c r="C8" s="167"/>
      <c r="D8" s="360"/>
      <c r="E8" s="361"/>
      <c r="F8" s="361"/>
      <c r="G8" s="361"/>
      <c r="H8" s="361"/>
      <c r="I8" s="355"/>
      <c r="J8" s="355"/>
      <c r="K8" s="355"/>
      <c r="L8" s="120"/>
      <c r="M8" s="121"/>
      <c r="N8" s="172"/>
      <c r="O8" s="99"/>
      <c r="P8" s="66" t="s">
        <v>109</v>
      </c>
      <c r="Q8" s="67"/>
      <c r="R8" s="67"/>
      <c r="S8" s="68" t="str">
        <f>+TEXT(AB61,"# ##0")&amp;" kg"</f>
        <v>1 696 kg</v>
      </c>
      <c r="T8" s="67"/>
      <c r="U8" s="67"/>
      <c r="V8" s="208">
        <f t="shared" ref="V8:V14" si="0">+AD61</f>
        <v>0.14025879445095987</v>
      </c>
      <c r="W8" s="70"/>
      <c r="X8" s="97"/>
      <c r="Y8" s="174"/>
      <c r="AA8" s="30"/>
      <c r="AB8" s="31">
        <f>+SUM(AA9:AA10)</f>
        <v>262.77699999999999</v>
      </c>
      <c r="AC8" s="22"/>
      <c r="AD8" s="65">
        <f>+AB8/$AC$4</f>
        <v>2.1731595064528229E-2</v>
      </c>
      <c r="AE8" s="32"/>
      <c r="AF8" s="32"/>
    </row>
    <row r="9" spans="3:32" ht="12.75" customHeight="1" thickTop="1" thickBot="1" x14ac:dyDescent="0.25">
      <c r="C9" s="167"/>
      <c r="D9" s="173"/>
      <c r="E9" s="173"/>
      <c r="F9" s="172"/>
      <c r="G9" s="172"/>
      <c r="H9" s="172"/>
      <c r="I9" s="172"/>
      <c r="J9" s="172"/>
      <c r="K9" s="172"/>
      <c r="L9" s="172"/>
      <c r="M9" s="172"/>
      <c r="N9" s="172"/>
      <c r="O9" s="99"/>
      <c r="P9" s="71"/>
      <c r="Q9" s="72" t="s">
        <v>69</v>
      </c>
      <c r="R9" s="73"/>
      <c r="S9" s="73"/>
      <c r="T9" s="73" t="str">
        <f t="shared" ref="T9:T14" si="1">+TEXT(AA62,"# ##0")&amp;" kg"</f>
        <v>654 kg</v>
      </c>
      <c r="U9" s="73"/>
      <c r="V9" s="74">
        <f t="shared" si="0"/>
        <v>5.4045947729711843E-2</v>
      </c>
      <c r="W9" s="75"/>
      <c r="X9" s="97"/>
      <c r="Y9" s="174"/>
      <c r="AA9" s="61">
        <f>+SUM('calculs et données'!O9:O10)</f>
        <v>145.19999999999999</v>
      </c>
      <c r="AB9" s="31"/>
      <c r="AC9" s="22"/>
      <c r="AD9" s="50">
        <f>+AA9/$AC$4</f>
        <v>1.2008005279645855E-2</v>
      </c>
      <c r="AE9" s="22"/>
      <c r="AF9" s="22"/>
    </row>
    <row r="10" spans="3:32" ht="12.75" customHeight="1" thickTop="1" x14ac:dyDescent="0.2">
      <c r="C10" s="167"/>
      <c r="D10" s="105" t="s">
        <v>5</v>
      </c>
      <c r="E10" s="106"/>
      <c r="F10" s="107"/>
      <c r="G10" s="108" t="str">
        <f>+TEXT(AC6,"# ##0")&amp;" kg"</f>
        <v>2 353 kg</v>
      </c>
      <c r="H10" s="107"/>
      <c r="I10" s="107"/>
      <c r="J10" s="107"/>
      <c r="K10" s="109">
        <f>+AD6</f>
        <v>0.19456044984130988</v>
      </c>
      <c r="L10" s="90"/>
      <c r="M10" s="91"/>
      <c r="N10" s="172"/>
      <c r="O10" s="99"/>
      <c r="P10" s="71"/>
      <c r="Q10" s="72" t="s">
        <v>70</v>
      </c>
      <c r="R10" s="73"/>
      <c r="S10" s="73"/>
      <c r="T10" s="73" t="str">
        <f t="shared" si="1"/>
        <v>498 kg</v>
      </c>
      <c r="U10" s="73"/>
      <c r="V10" s="74">
        <f t="shared" si="0"/>
        <v>4.1177864936923311E-2</v>
      </c>
      <c r="W10" s="75"/>
      <c r="X10" s="97"/>
      <c r="Y10" s="174"/>
      <c r="AA10" s="61">
        <f>+SUM('calculs et données'!O7:O8)</f>
        <v>117.577</v>
      </c>
      <c r="AB10" s="31"/>
      <c r="AC10" s="22"/>
      <c r="AD10" s="50">
        <f>+AA10/$AC$4</f>
        <v>9.7235897848823756E-3</v>
      </c>
      <c r="AE10" s="32"/>
      <c r="AF10" s="32"/>
    </row>
    <row r="11" spans="3:32" s="10" customFormat="1" ht="12.75" customHeight="1" thickBot="1" x14ac:dyDescent="0.25">
      <c r="C11" s="167"/>
      <c r="D11" s="98"/>
      <c r="E11" s="92"/>
      <c r="F11" s="93"/>
      <c r="G11" s="94"/>
      <c r="H11" s="95"/>
      <c r="I11" s="95"/>
      <c r="J11" s="95"/>
      <c r="K11" s="96"/>
      <c r="L11" s="95"/>
      <c r="M11" s="97"/>
      <c r="N11" s="176"/>
      <c r="O11" s="99"/>
      <c r="P11" s="71"/>
      <c r="Q11" s="72" t="s">
        <v>71</v>
      </c>
      <c r="R11" s="73"/>
      <c r="S11" s="73"/>
      <c r="T11" s="73" t="str">
        <f t="shared" si="1"/>
        <v>171 kg</v>
      </c>
      <c r="U11" s="73"/>
      <c r="V11" s="74">
        <f t="shared" si="0"/>
        <v>1.4154891072067388E-2</v>
      </c>
      <c r="W11" s="75"/>
      <c r="X11" s="97"/>
      <c r="Y11" s="175"/>
      <c r="Z11" s="24"/>
      <c r="AA11" s="112"/>
      <c r="AB11" s="113"/>
      <c r="AC11" s="114"/>
      <c r="AD11" s="115"/>
      <c r="AE11" s="116"/>
      <c r="AF11" s="116"/>
    </row>
    <row r="12" spans="3:32" ht="12.75" customHeight="1" x14ac:dyDescent="0.2">
      <c r="C12" s="167"/>
      <c r="D12" s="99"/>
      <c r="E12" s="66" t="s">
        <v>100</v>
      </c>
      <c r="F12" s="87"/>
      <c r="G12" s="67"/>
      <c r="H12" s="68" t="str">
        <f>+TEXT(AB8,"# ##0")&amp;" kg"</f>
        <v>263 kg</v>
      </c>
      <c r="I12" s="67"/>
      <c r="J12" s="67"/>
      <c r="K12" s="208">
        <f>+AD8</f>
        <v>2.1731595064528229E-2</v>
      </c>
      <c r="L12" s="70"/>
      <c r="M12" s="97"/>
      <c r="N12" s="172"/>
      <c r="O12" s="99"/>
      <c r="P12" s="71"/>
      <c r="Q12" s="72" t="s">
        <v>72</v>
      </c>
      <c r="R12" s="73"/>
      <c r="S12" s="73"/>
      <c r="T12" s="73" t="str">
        <f t="shared" si="1"/>
        <v>171 kg</v>
      </c>
      <c r="U12" s="73"/>
      <c r="V12" s="74">
        <f t="shared" si="0"/>
        <v>1.4154891072067388E-2</v>
      </c>
      <c r="W12" s="75"/>
      <c r="X12" s="97"/>
      <c r="Y12" s="174"/>
      <c r="AA12" s="61"/>
      <c r="AB12" s="31">
        <f>+AA13</f>
        <v>537.95499999999993</v>
      </c>
      <c r="AC12" s="22"/>
      <c r="AD12" s="65">
        <f>+AB12/$AC$4</f>
        <v>4.4488749863718223E-2</v>
      </c>
      <c r="AE12" s="22"/>
      <c r="AF12" s="22"/>
    </row>
    <row r="13" spans="3:32" ht="12.75" customHeight="1" x14ac:dyDescent="0.2">
      <c r="C13" s="167"/>
      <c r="D13" s="99"/>
      <c r="E13" s="71"/>
      <c r="F13" s="72" t="s">
        <v>101</v>
      </c>
      <c r="G13" s="73"/>
      <c r="H13" s="73"/>
      <c r="I13" s="73" t="str">
        <f>+TEXT(AA9,"# ##0")&amp;" kg"</f>
        <v>145 kg</v>
      </c>
      <c r="J13" s="73"/>
      <c r="K13" s="74">
        <f>+AD9</f>
        <v>1.2008005279645855E-2</v>
      </c>
      <c r="L13" s="75"/>
      <c r="M13" s="97"/>
      <c r="N13" s="172"/>
      <c r="O13" s="99"/>
      <c r="P13" s="71"/>
      <c r="Q13" s="72" t="s">
        <v>73</v>
      </c>
      <c r="R13" s="73"/>
      <c r="S13" s="73"/>
      <c r="T13" s="73" t="str">
        <f t="shared" si="1"/>
        <v>62 kg</v>
      </c>
      <c r="U13" s="73"/>
      <c r="V13" s="74">
        <f t="shared" si="0"/>
        <v>5.1472331171154139E-3</v>
      </c>
      <c r="W13" s="75"/>
      <c r="X13" s="97"/>
      <c r="Y13" s="174"/>
      <c r="AA13" s="61">
        <f>+SUM('calculs et données'!O13:O26)</f>
        <v>537.95499999999993</v>
      </c>
      <c r="AB13" s="31"/>
      <c r="AC13" s="22"/>
      <c r="AD13" s="50">
        <f>+AA13/$AC$4</f>
        <v>4.4488749863718223E-2</v>
      </c>
      <c r="AE13" s="22"/>
      <c r="AF13" s="22"/>
    </row>
    <row r="14" spans="3:32" ht="12.75" customHeight="1" thickBot="1" x14ac:dyDescent="0.25">
      <c r="C14" s="167"/>
      <c r="D14" s="99"/>
      <c r="E14" s="76"/>
      <c r="F14" s="77" t="s">
        <v>102</v>
      </c>
      <c r="G14" s="78"/>
      <c r="H14" s="78"/>
      <c r="I14" s="78" t="str">
        <f>+TEXT(AA10,"# ##0")&amp;" kg"</f>
        <v>118 kg</v>
      </c>
      <c r="J14" s="78"/>
      <c r="K14" s="79">
        <f>+AD10</f>
        <v>9.7235897848823756E-3</v>
      </c>
      <c r="L14" s="80"/>
      <c r="M14" s="97"/>
      <c r="N14" s="172"/>
      <c r="O14" s="99"/>
      <c r="P14" s="76"/>
      <c r="Q14" s="77" t="s">
        <v>74</v>
      </c>
      <c r="R14" s="78"/>
      <c r="S14" s="78"/>
      <c r="T14" s="78" t="str">
        <f t="shared" si="1"/>
        <v>140 kg</v>
      </c>
      <c r="U14" s="78"/>
      <c r="V14" s="79">
        <f t="shared" si="0"/>
        <v>1.1577966523074516E-2</v>
      </c>
      <c r="W14" s="80"/>
      <c r="X14" s="97"/>
      <c r="Y14" s="174"/>
      <c r="AA14" s="61"/>
      <c r="AB14" s="31"/>
      <c r="AC14" s="22"/>
      <c r="AD14" s="22"/>
      <c r="AE14" s="22"/>
      <c r="AF14" s="22"/>
    </row>
    <row r="15" spans="3:32" ht="12.75" customHeight="1" thickBot="1" x14ac:dyDescent="0.25">
      <c r="C15" s="167"/>
      <c r="D15" s="99"/>
      <c r="E15" s="103"/>
      <c r="F15" s="104"/>
      <c r="G15" s="104"/>
      <c r="H15" s="104"/>
      <c r="I15" s="104"/>
      <c r="J15" s="104"/>
      <c r="K15" s="110"/>
      <c r="L15" s="104"/>
      <c r="M15" s="111"/>
      <c r="N15" s="172"/>
      <c r="O15" s="99"/>
      <c r="P15" s="103"/>
      <c r="Q15" s="104"/>
      <c r="R15" s="95"/>
      <c r="S15" s="95"/>
      <c r="T15" s="95"/>
      <c r="U15" s="95"/>
      <c r="V15" s="96"/>
      <c r="W15" s="95"/>
      <c r="X15" s="97"/>
      <c r="Y15" s="174"/>
      <c r="AA15" s="61"/>
      <c r="AB15" s="31">
        <f>+SUM(AA16:AA20)</f>
        <v>408.17999999999995</v>
      </c>
      <c r="AC15" s="22"/>
      <c r="AD15" s="65">
        <f>+AB15/$AC$4</f>
        <v>3.3756388395632539E-2</v>
      </c>
      <c r="AE15" s="22"/>
      <c r="AF15" s="22"/>
    </row>
    <row r="16" spans="3:32" ht="12.75" customHeight="1" x14ac:dyDescent="0.2">
      <c r="C16" s="167"/>
      <c r="D16" s="99"/>
      <c r="E16" s="66" t="s">
        <v>6</v>
      </c>
      <c r="F16" s="87"/>
      <c r="G16" s="67"/>
      <c r="H16" s="68" t="str">
        <f>+TEXT(AB12,"# ##0")&amp;" kg"</f>
        <v>538 kg</v>
      </c>
      <c r="I16" s="67"/>
      <c r="J16" s="67"/>
      <c r="K16" s="208">
        <f>+AD12</f>
        <v>4.4488749863718223E-2</v>
      </c>
      <c r="L16" s="70"/>
      <c r="M16" s="97"/>
      <c r="N16" s="172"/>
      <c r="O16" s="99"/>
      <c r="P16" s="66" t="s">
        <v>112</v>
      </c>
      <c r="Q16" s="67"/>
      <c r="R16" s="67"/>
      <c r="S16" s="68" t="str">
        <f>+TEXT(AB69,"# ##0")&amp;" kg"</f>
        <v>626 kg</v>
      </c>
      <c r="T16" s="67"/>
      <c r="U16" s="67"/>
      <c r="V16" s="208">
        <f>+AD69</f>
        <v>5.1751241857757854E-2</v>
      </c>
      <c r="W16" s="70"/>
      <c r="X16" s="97"/>
      <c r="Y16" s="174"/>
      <c r="AA16" s="61">
        <f>+'calculs et données'!O31</f>
        <v>74.399999999999991</v>
      </c>
      <c r="AB16" s="31"/>
      <c r="AC16" s="22"/>
      <c r="AD16" s="50">
        <f>+AA16/$AC$4</f>
        <v>6.1528622094053137E-3</v>
      </c>
      <c r="AE16" s="22"/>
      <c r="AF16" s="22"/>
    </row>
    <row r="17" spans="3:32" ht="12.75" customHeight="1" thickBot="1" x14ac:dyDescent="0.25">
      <c r="C17" s="167"/>
      <c r="D17" s="99"/>
      <c r="E17" s="76"/>
      <c r="F17" s="88" t="s">
        <v>126</v>
      </c>
      <c r="G17" s="78"/>
      <c r="H17" s="78"/>
      <c r="I17" s="78" t="str">
        <f>+TEXT(AA13,"# ##0")&amp;" kg"</f>
        <v>538 kg</v>
      </c>
      <c r="J17" s="78"/>
      <c r="K17" s="79">
        <f>+AD13</f>
        <v>4.4488749863718223E-2</v>
      </c>
      <c r="L17" s="80"/>
      <c r="M17" s="97"/>
      <c r="N17" s="172"/>
      <c r="O17" s="99"/>
      <c r="P17" s="71"/>
      <c r="Q17" s="72" t="s">
        <v>76</v>
      </c>
      <c r="R17" s="73"/>
      <c r="S17" s="73"/>
      <c r="T17" s="73" t="str">
        <f>+TEXT(AA70,"# ##0")&amp;" kg"</f>
        <v>492 kg</v>
      </c>
      <c r="U17" s="73"/>
      <c r="V17" s="74">
        <f>+AD70</f>
        <v>4.0703070677815104E-2</v>
      </c>
      <c r="W17" s="75"/>
      <c r="X17" s="97"/>
      <c r="Y17" s="174"/>
      <c r="AA17" s="61">
        <f>+'calculs et données'!O32+'calculs et données'!O34</f>
        <v>110.05999999999999</v>
      </c>
      <c r="AB17" s="31"/>
      <c r="AC17" s="22"/>
      <c r="AD17" s="50">
        <f>+AA17/$AC$4</f>
        <v>9.1019356823541508E-3</v>
      </c>
      <c r="AE17" s="22"/>
      <c r="AF17" s="22"/>
    </row>
    <row r="18" spans="3:32" ht="12.75" customHeight="1" thickBot="1" x14ac:dyDescent="0.25">
      <c r="C18" s="167"/>
      <c r="D18" s="99"/>
      <c r="E18" s="103"/>
      <c r="F18" s="104"/>
      <c r="G18" s="95"/>
      <c r="H18" s="95"/>
      <c r="I18" s="95"/>
      <c r="J18" s="95"/>
      <c r="K18" s="95"/>
      <c r="L18" s="95"/>
      <c r="M18" s="97"/>
      <c r="N18" s="172"/>
      <c r="O18" s="99"/>
      <c r="P18" s="71"/>
      <c r="Q18" s="189" t="s">
        <v>151</v>
      </c>
      <c r="R18" s="73"/>
      <c r="S18" s="73"/>
      <c r="T18" s="190" t="str">
        <f>+TEXT(AA71,"# ##0")&amp;" kg"</f>
        <v>134 kg</v>
      </c>
      <c r="U18" s="73"/>
      <c r="V18" s="74">
        <f>+AD71</f>
        <v>1.1048171179942759E-2</v>
      </c>
      <c r="W18" s="75"/>
      <c r="X18" s="97"/>
      <c r="Y18" s="174"/>
      <c r="AA18" s="61">
        <f>+'calculs et données'!O33</f>
        <v>120</v>
      </c>
      <c r="AB18" s="31"/>
      <c r="AC18" s="22"/>
      <c r="AD18" s="50">
        <f>+AA18/$AC$4</f>
        <v>9.923971305492444E-3</v>
      </c>
      <c r="AE18" s="22"/>
      <c r="AF18" s="22"/>
    </row>
    <row r="19" spans="3:32" ht="12.75" customHeight="1" thickBot="1" x14ac:dyDescent="0.25">
      <c r="C19" s="167"/>
      <c r="D19" s="99"/>
      <c r="E19" s="66" t="s">
        <v>103</v>
      </c>
      <c r="F19" s="87"/>
      <c r="G19" s="67"/>
      <c r="H19" s="68" t="str">
        <f>+TEXT(AB15,"# ##0")&amp;" kg"</f>
        <v>408 kg</v>
      </c>
      <c r="I19" s="67"/>
      <c r="J19" s="67"/>
      <c r="K19" s="208">
        <f t="shared" ref="K19:K24" si="2">+AD15</f>
        <v>3.3756388395632539E-2</v>
      </c>
      <c r="L19" s="70"/>
      <c r="M19" s="97"/>
      <c r="N19" s="172"/>
      <c r="O19" s="99"/>
      <c r="P19" s="76"/>
      <c r="Q19" s="191" t="s">
        <v>152</v>
      </c>
      <c r="R19" s="78"/>
      <c r="S19" s="78"/>
      <c r="T19" s="78" t="str">
        <f>+TEXT(AA72,"# ##0")&amp;" kg"</f>
        <v>49 kg</v>
      </c>
      <c r="U19" s="78"/>
      <c r="V19" s="79">
        <f>+AD72</f>
        <v>4.0380742616749846E-3</v>
      </c>
      <c r="W19" s="80"/>
      <c r="X19" s="97"/>
      <c r="Y19" s="174"/>
      <c r="AA19" s="61">
        <f>+'calculs et données'!O35</f>
        <v>76</v>
      </c>
      <c r="AB19" s="31"/>
      <c r="AC19" s="22"/>
      <c r="AD19" s="50">
        <f>+AA19/$AC$4</f>
        <v>6.285181826811881E-3</v>
      </c>
      <c r="AE19" s="22"/>
      <c r="AF19" s="22"/>
    </row>
    <row r="20" spans="3:32" ht="12.75" customHeight="1" thickBot="1" x14ac:dyDescent="0.25">
      <c r="C20" s="167"/>
      <c r="D20" s="99"/>
      <c r="E20" s="71"/>
      <c r="F20" s="72" t="s">
        <v>26</v>
      </c>
      <c r="G20" s="73"/>
      <c r="H20" s="73"/>
      <c r="I20" s="73" t="str">
        <f>+TEXT(AA16,"# ##0")&amp;" kg"</f>
        <v>74 kg</v>
      </c>
      <c r="J20" s="73"/>
      <c r="K20" s="74">
        <f t="shared" si="2"/>
        <v>6.1528622094053137E-3</v>
      </c>
      <c r="L20" s="75"/>
      <c r="M20" s="97"/>
      <c r="N20" s="172"/>
      <c r="O20" s="99"/>
      <c r="P20" s="103"/>
      <c r="Q20" s="104"/>
      <c r="R20" s="95"/>
      <c r="S20" s="95"/>
      <c r="T20" s="95"/>
      <c r="U20" s="95"/>
      <c r="V20" s="96"/>
      <c r="W20" s="95"/>
      <c r="X20" s="97"/>
      <c r="Y20" s="174"/>
      <c r="AA20" s="61">
        <f>+'calculs et données'!O36</f>
        <v>27.72</v>
      </c>
      <c r="AB20" s="31"/>
      <c r="AC20" s="22"/>
      <c r="AD20" s="50">
        <f>+AA20/$AC$4</f>
        <v>2.2924373715687541E-3</v>
      </c>
      <c r="AE20" s="22"/>
      <c r="AF20" s="22"/>
    </row>
    <row r="21" spans="3:32" ht="12.75" customHeight="1" x14ac:dyDescent="0.2">
      <c r="C21" s="167"/>
      <c r="D21" s="99"/>
      <c r="E21" s="71"/>
      <c r="F21" s="72" t="s">
        <v>114</v>
      </c>
      <c r="G21" s="73"/>
      <c r="H21" s="73"/>
      <c r="I21" s="73" t="str">
        <f>+TEXT(AA17,"# ##0")&amp;" kg"</f>
        <v>110 kg</v>
      </c>
      <c r="J21" s="73"/>
      <c r="K21" s="74">
        <f t="shared" si="2"/>
        <v>9.1019356823541508E-3</v>
      </c>
      <c r="L21" s="75"/>
      <c r="M21" s="97"/>
      <c r="N21" s="172"/>
      <c r="O21" s="99"/>
      <c r="P21" s="66" t="s">
        <v>78</v>
      </c>
      <c r="Q21" s="67"/>
      <c r="R21" s="67"/>
      <c r="S21" s="68" t="str">
        <f>+TEXT(AB74,"# ##0")&amp;" kg"</f>
        <v>335 kg</v>
      </c>
      <c r="T21" s="67"/>
      <c r="U21" s="67"/>
      <c r="V21" s="208">
        <f>+AD74</f>
        <v>2.7665818737898931E-2</v>
      </c>
      <c r="W21" s="70"/>
      <c r="X21" s="97"/>
      <c r="Y21" s="174"/>
      <c r="AA21" s="61"/>
      <c r="AB21" s="31"/>
      <c r="AC21" s="22"/>
      <c r="AD21" s="22"/>
      <c r="AE21" s="22"/>
      <c r="AF21" s="22"/>
    </row>
    <row r="22" spans="3:32" ht="12.75" customHeight="1" x14ac:dyDescent="0.2">
      <c r="C22" s="167"/>
      <c r="D22" s="99"/>
      <c r="E22" s="71"/>
      <c r="F22" s="72" t="s">
        <v>29</v>
      </c>
      <c r="G22" s="73"/>
      <c r="H22" s="73"/>
      <c r="I22" s="73" t="str">
        <f>+TEXT(AA18,"# ##0")&amp;" kg"</f>
        <v>120 kg</v>
      </c>
      <c r="J22" s="73"/>
      <c r="K22" s="74">
        <f t="shared" si="2"/>
        <v>9.923971305492444E-3</v>
      </c>
      <c r="L22" s="75"/>
      <c r="M22" s="97"/>
      <c r="N22" s="172"/>
      <c r="O22" s="99"/>
      <c r="P22" s="71"/>
      <c r="Q22" s="72" t="s">
        <v>54</v>
      </c>
      <c r="R22" s="73"/>
      <c r="S22" s="73"/>
      <c r="T22" s="73" t="str">
        <f>+TEXT(AA75,"# ##0")&amp;" kg"</f>
        <v>157 kg</v>
      </c>
      <c r="U22" s="73"/>
      <c r="V22" s="74">
        <f>+AD75</f>
        <v>1.3021179681905491E-2</v>
      </c>
      <c r="W22" s="75"/>
      <c r="X22" s="97"/>
      <c r="Y22" s="174"/>
      <c r="AA22" s="61"/>
      <c r="AB22" s="31">
        <f>+SUM(AA23:AA27)</f>
        <v>1143.7</v>
      </c>
      <c r="AC22" s="22"/>
      <c r="AD22" s="65">
        <f>+AB22/$AC$4</f>
        <v>9.4583716517430902E-2</v>
      </c>
      <c r="AE22" s="22"/>
      <c r="AF22" s="22"/>
    </row>
    <row r="23" spans="3:32" ht="12.75" customHeight="1" x14ac:dyDescent="0.2">
      <c r="C23" s="167"/>
      <c r="D23" s="99"/>
      <c r="E23" s="71"/>
      <c r="F23" s="72" t="s">
        <v>32</v>
      </c>
      <c r="G23" s="73"/>
      <c r="H23" s="73"/>
      <c r="I23" s="73" t="str">
        <f>+TEXT(AA19,"# ##0")&amp;" kg"</f>
        <v>76 kg</v>
      </c>
      <c r="J23" s="73"/>
      <c r="K23" s="74">
        <f t="shared" si="2"/>
        <v>6.285181826811881E-3</v>
      </c>
      <c r="L23" s="75"/>
      <c r="M23" s="97"/>
      <c r="N23" s="172"/>
      <c r="O23" s="99"/>
      <c r="P23" s="71"/>
      <c r="Q23" s="72" t="s">
        <v>55</v>
      </c>
      <c r="R23" s="73"/>
      <c r="S23" s="73"/>
      <c r="T23" s="73" t="str">
        <f>+TEXT(AA76,"# ##0")&amp;" kg"</f>
        <v>120 kg</v>
      </c>
      <c r="U23" s="73"/>
      <c r="V23" s="74">
        <f>+AD76</f>
        <v>9.8950263891847568E-3</v>
      </c>
      <c r="W23" s="75"/>
      <c r="X23" s="97"/>
      <c r="Y23" s="174"/>
      <c r="AA23" s="61">
        <f>+'calculs et données'!O39</f>
        <v>168.29999999999998</v>
      </c>
      <c r="AB23" s="31"/>
      <c r="AC23" s="22"/>
      <c r="AD23" s="50">
        <f>+AA23/$AC$4</f>
        <v>1.3918369755953151E-2</v>
      </c>
      <c r="AE23" s="22"/>
      <c r="AF23" s="22"/>
    </row>
    <row r="24" spans="3:32" ht="12.75" customHeight="1" thickBot="1" x14ac:dyDescent="0.25">
      <c r="C24" s="167"/>
      <c r="D24" s="99"/>
      <c r="E24" s="76"/>
      <c r="F24" s="77" t="s">
        <v>33</v>
      </c>
      <c r="G24" s="78"/>
      <c r="H24" s="78"/>
      <c r="I24" s="78" t="str">
        <f>+TEXT(AA20,"# ##0")&amp;" kg"</f>
        <v>28 kg</v>
      </c>
      <c r="J24" s="78"/>
      <c r="K24" s="79">
        <f t="shared" si="2"/>
        <v>2.2924373715687541E-3</v>
      </c>
      <c r="L24" s="80"/>
      <c r="M24" s="97"/>
      <c r="N24" s="172"/>
      <c r="O24" s="99"/>
      <c r="P24" s="76"/>
      <c r="Q24" s="77" t="s">
        <v>56</v>
      </c>
      <c r="R24" s="78"/>
      <c r="S24" s="78"/>
      <c r="T24" s="78" t="str">
        <f>+TEXT(AA77,"# ##0")&amp;" kg"</f>
        <v>57 kg</v>
      </c>
      <c r="U24" s="78"/>
      <c r="V24" s="79">
        <f>+AD77</f>
        <v>4.7496126668086832E-3</v>
      </c>
      <c r="W24" s="80"/>
      <c r="X24" s="97"/>
      <c r="Y24" s="174"/>
      <c r="AA24" s="61">
        <f>+'calculs et données'!O42+'calculs et données'!O43+'calculs et données'!O44</f>
        <v>650.1</v>
      </c>
      <c r="AB24" s="31"/>
      <c r="AC24" s="22"/>
      <c r="AD24" s="50">
        <f>+AA24/$AC$4</f>
        <v>5.3763114547505313E-2</v>
      </c>
      <c r="AE24" s="22"/>
      <c r="AF24" s="22"/>
    </row>
    <row r="25" spans="3:32" ht="12.75" customHeight="1" thickBot="1" x14ac:dyDescent="0.25">
      <c r="C25" s="167"/>
      <c r="D25" s="99"/>
      <c r="E25" s="103"/>
      <c r="F25" s="104"/>
      <c r="G25" s="95"/>
      <c r="H25" s="95"/>
      <c r="I25" s="95"/>
      <c r="J25" s="95"/>
      <c r="K25" s="95"/>
      <c r="L25" s="95"/>
      <c r="M25" s="97"/>
      <c r="N25" s="172"/>
      <c r="O25" s="117"/>
      <c r="P25" s="118"/>
      <c r="Q25" s="120"/>
      <c r="R25" s="120"/>
      <c r="S25" s="120"/>
      <c r="T25" s="120"/>
      <c r="U25" s="120"/>
      <c r="V25" s="120"/>
      <c r="W25" s="120"/>
      <c r="X25" s="121"/>
      <c r="Y25" s="174"/>
      <c r="AA25" s="61">
        <f>+'calculs et données'!O40</f>
        <v>199.10000000000002</v>
      </c>
      <c r="AB25" s="31"/>
      <c r="AC25" s="22"/>
      <c r="AD25" s="50">
        <f>+AA25/$AC$4</f>
        <v>1.6465522391029549E-2</v>
      </c>
      <c r="AE25" s="22"/>
      <c r="AF25" s="22"/>
    </row>
    <row r="26" spans="3:32" ht="12.75" customHeight="1" thickTop="1" thickBot="1" x14ac:dyDescent="0.25">
      <c r="C26" s="167"/>
      <c r="D26" s="99"/>
      <c r="E26" s="66" t="s">
        <v>104</v>
      </c>
      <c r="F26" s="87"/>
      <c r="G26" s="67"/>
      <c r="H26" s="68" t="str">
        <f>+TEXT(AB22,"# ##0")&amp;" kg"</f>
        <v>1 144 kg</v>
      </c>
      <c r="I26" s="67"/>
      <c r="J26" s="67"/>
      <c r="K26" s="208">
        <f t="shared" ref="K26:K31" si="3">+AD22</f>
        <v>9.4583716517430902E-2</v>
      </c>
      <c r="L26" s="70"/>
      <c r="M26" s="97"/>
      <c r="N26" s="172"/>
      <c r="O26" s="173"/>
      <c r="P26" s="173"/>
      <c r="Q26" s="172"/>
      <c r="R26" s="172"/>
      <c r="S26" s="172"/>
      <c r="T26" s="172"/>
      <c r="U26" s="172"/>
      <c r="V26" s="172"/>
      <c r="W26" s="172"/>
      <c r="X26" s="172"/>
      <c r="Y26" s="174"/>
      <c r="AA26" s="61">
        <f>+'calculs et données'!O41</f>
        <v>109.2</v>
      </c>
      <c r="AB26" s="31"/>
      <c r="AC26" s="22"/>
      <c r="AD26" s="50">
        <f>+AA26/$AC$4</f>
        <v>9.0308138879981233E-3</v>
      </c>
      <c r="AE26" s="22"/>
      <c r="AF26" s="22"/>
    </row>
    <row r="27" spans="3:32" ht="12.75" customHeight="1" thickTop="1" x14ac:dyDescent="0.2">
      <c r="C27" s="167"/>
      <c r="D27" s="99"/>
      <c r="E27" s="71"/>
      <c r="F27" s="72" t="s">
        <v>106</v>
      </c>
      <c r="G27" s="73"/>
      <c r="H27" s="73"/>
      <c r="I27" s="73" t="str">
        <f>+TEXT(AA23,"# ##0")&amp;" kg"</f>
        <v>168 kg</v>
      </c>
      <c r="J27" s="73"/>
      <c r="K27" s="74">
        <f t="shared" si="3"/>
        <v>1.3918369755953151E-2</v>
      </c>
      <c r="L27" s="75"/>
      <c r="M27" s="97"/>
      <c r="N27" s="172"/>
      <c r="O27" s="105" t="s">
        <v>59</v>
      </c>
      <c r="P27" s="106"/>
      <c r="Q27" s="107"/>
      <c r="R27" s="108" t="str">
        <f>+TEXT(AC41,"# ##0")&amp;" kg"</f>
        <v>2 919 kg</v>
      </c>
      <c r="S27" s="107"/>
      <c r="T27" s="107"/>
      <c r="U27" s="107"/>
      <c r="V27" s="109">
        <f>+AD41</f>
        <v>0.24144006633199522</v>
      </c>
      <c r="W27" s="107"/>
      <c r="X27" s="91"/>
      <c r="Y27" s="174"/>
      <c r="AA27" s="61">
        <f>+'calculs et données'!O45</f>
        <v>17</v>
      </c>
      <c r="AB27" s="31"/>
      <c r="AC27" s="22"/>
      <c r="AD27" s="50">
        <f>+AA27/$AC$4</f>
        <v>1.4058959349447628E-3</v>
      </c>
      <c r="AE27" s="22"/>
      <c r="AF27" s="22"/>
    </row>
    <row r="28" spans="3:32" ht="12.75" customHeight="1" thickBot="1" x14ac:dyDescent="0.25">
      <c r="C28" s="167"/>
      <c r="D28" s="99"/>
      <c r="E28" s="71"/>
      <c r="F28" s="72" t="s">
        <v>105</v>
      </c>
      <c r="G28" s="73"/>
      <c r="H28" s="73"/>
      <c r="I28" s="73" t="str">
        <f>+TEXT(AA24,"# ##0")&amp;" kg"</f>
        <v>650 kg</v>
      </c>
      <c r="J28" s="73"/>
      <c r="K28" s="74">
        <f t="shared" si="3"/>
        <v>5.3763114547505313E-2</v>
      </c>
      <c r="L28" s="75"/>
      <c r="M28" s="97"/>
      <c r="N28" s="172"/>
      <c r="O28" s="98"/>
      <c r="P28" s="103"/>
      <c r="Q28" s="95"/>
      <c r="R28" s="94"/>
      <c r="S28" s="95"/>
      <c r="T28" s="95"/>
      <c r="U28" s="95"/>
      <c r="V28" s="95"/>
      <c r="W28" s="95"/>
      <c r="X28" s="97"/>
      <c r="Y28" s="174"/>
      <c r="AA28" s="61"/>
      <c r="AB28" s="31"/>
      <c r="AC28" s="22"/>
      <c r="AD28" s="50"/>
      <c r="AE28" s="22"/>
      <c r="AF28" s="22"/>
    </row>
    <row r="29" spans="3:32" ht="12.75" customHeight="1" thickBot="1" x14ac:dyDescent="0.25">
      <c r="C29" s="167"/>
      <c r="D29" s="99"/>
      <c r="E29" s="71"/>
      <c r="F29" s="72" t="s">
        <v>38</v>
      </c>
      <c r="G29" s="73"/>
      <c r="H29" s="73"/>
      <c r="I29" s="73" t="str">
        <f>+TEXT(AA25,"# ##0")&amp;" kg"</f>
        <v>199 kg</v>
      </c>
      <c r="J29" s="73"/>
      <c r="K29" s="74">
        <f t="shared" si="3"/>
        <v>1.6465522391029549E-2</v>
      </c>
      <c r="L29" s="75"/>
      <c r="M29" s="97"/>
      <c r="N29" s="172"/>
      <c r="O29" s="99"/>
      <c r="P29" s="66" t="s">
        <v>61</v>
      </c>
      <c r="Q29" s="87"/>
      <c r="R29" s="67"/>
      <c r="S29" s="68" t="str">
        <f>+TEXT(AB43,"# ##0")&amp;" kg"</f>
        <v>1 972 kg</v>
      </c>
      <c r="T29" s="67"/>
      <c r="U29" s="67"/>
      <c r="V29" s="208">
        <f>+AD43</f>
        <v>0.16311131861439568</v>
      </c>
      <c r="W29" s="70"/>
      <c r="X29" s="97"/>
      <c r="Y29" s="174"/>
      <c r="AA29" s="62"/>
      <c r="AB29" s="44"/>
      <c r="AC29" s="22"/>
      <c r="AD29" s="22"/>
      <c r="AE29" s="22"/>
      <c r="AF29" s="22"/>
    </row>
    <row r="30" spans="3:32" ht="12.75" customHeight="1" thickTop="1" x14ac:dyDescent="0.2">
      <c r="C30" s="167"/>
      <c r="D30" s="99"/>
      <c r="E30" s="71"/>
      <c r="F30" s="72" t="s">
        <v>40</v>
      </c>
      <c r="G30" s="73"/>
      <c r="H30" s="73"/>
      <c r="I30" s="73" t="str">
        <f>+TEXT(AA26,"# ##0")&amp;" kg"</f>
        <v>109 kg</v>
      </c>
      <c r="J30" s="73"/>
      <c r="K30" s="74">
        <f t="shared" si="3"/>
        <v>9.0308138879981233E-3</v>
      </c>
      <c r="L30" s="75"/>
      <c r="M30" s="97"/>
      <c r="N30" s="172"/>
      <c r="O30" s="99"/>
      <c r="P30" s="71"/>
      <c r="Q30" s="72" t="s">
        <v>58</v>
      </c>
      <c r="R30" s="73"/>
      <c r="S30" s="73"/>
      <c r="T30" s="73" t="str">
        <f>+TEXT(AA44,"# ##0")&amp;" kg"</f>
        <v>424 kg</v>
      </c>
      <c r="U30" s="73"/>
      <c r="V30" s="74">
        <f>+AD44</f>
        <v>3.5064698612739968E-2</v>
      </c>
      <c r="W30" s="75"/>
      <c r="X30" s="97"/>
      <c r="Y30" s="174"/>
      <c r="AA30" s="63"/>
      <c r="AB30" s="46"/>
      <c r="AC30" s="20">
        <f>+SUM(AA32:AA38)</f>
        <v>2625.5486591488338</v>
      </c>
      <c r="AD30" s="21">
        <f>+AC30/$AC$4</f>
        <v>0.21713224628805988</v>
      </c>
      <c r="AE30" s="32"/>
      <c r="AF30" s="32"/>
    </row>
    <row r="31" spans="3:32" ht="12.75" customHeight="1" thickBot="1" x14ac:dyDescent="0.25">
      <c r="C31" s="167"/>
      <c r="D31" s="99"/>
      <c r="E31" s="76"/>
      <c r="F31" s="77" t="s">
        <v>44</v>
      </c>
      <c r="G31" s="78"/>
      <c r="H31" s="78"/>
      <c r="I31" s="78" t="str">
        <f>+TEXT(AA27,"# ##0")&amp;" kg"</f>
        <v>17 kg</v>
      </c>
      <c r="J31" s="78"/>
      <c r="K31" s="79">
        <f t="shared" si="3"/>
        <v>1.4058959349447628E-3</v>
      </c>
      <c r="L31" s="80"/>
      <c r="M31" s="97"/>
      <c r="N31" s="172"/>
      <c r="O31" s="99"/>
      <c r="P31" s="76"/>
      <c r="Q31" s="77" t="s">
        <v>98</v>
      </c>
      <c r="R31" s="78"/>
      <c r="S31" s="78"/>
      <c r="T31" s="78" t="str">
        <f>+TEXT(AA45,"# ##0")&amp;" kg"</f>
        <v>1 548 kg</v>
      </c>
      <c r="U31" s="78"/>
      <c r="V31" s="79">
        <f>+AD45</f>
        <v>0.1280466200016557</v>
      </c>
      <c r="W31" s="80"/>
      <c r="X31" s="97"/>
      <c r="Y31" s="174"/>
      <c r="AA31" s="61"/>
      <c r="AB31" s="31"/>
      <c r="AC31" s="20"/>
      <c r="AD31" s="21"/>
      <c r="AE31" s="32"/>
      <c r="AF31" s="32"/>
    </row>
    <row r="32" spans="3:32" ht="12.75" customHeight="1" thickBot="1" x14ac:dyDescent="0.25">
      <c r="C32" s="167"/>
      <c r="D32" s="100"/>
      <c r="E32" s="101"/>
      <c r="F32" s="101"/>
      <c r="G32" s="101"/>
      <c r="H32" s="101"/>
      <c r="I32" s="101"/>
      <c r="J32" s="101"/>
      <c r="K32" s="101"/>
      <c r="L32" s="101"/>
      <c r="M32" s="102"/>
      <c r="N32" s="172"/>
      <c r="O32" s="99"/>
      <c r="P32" s="103"/>
      <c r="Q32" s="104"/>
      <c r="R32" s="95"/>
      <c r="S32" s="95"/>
      <c r="T32" s="95"/>
      <c r="U32" s="95"/>
      <c r="V32" s="96"/>
      <c r="W32" s="95"/>
      <c r="X32" s="97"/>
      <c r="Y32" s="174"/>
      <c r="AA32" s="61">
        <f>+'calculs et données'!O49</f>
        <v>763.36699999999996</v>
      </c>
      <c r="AB32" s="31">
        <f>+AA32</f>
        <v>763.36699999999996</v>
      </c>
      <c r="AC32" s="22"/>
      <c r="AD32" s="50">
        <f>+AA32/$AC$4</f>
        <v>6.3130268362998745E-2</v>
      </c>
      <c r="AE32" s="22"/>
      <c r="AF32" s="22"/>
    </row>
    <row r="33" spans="3:32" ht="12.75" customHeight="1" thickTop="1" thickBot="1" x14ac:dyDescent="0.25">
      <c r="C33" s="167"/>
      <c r="D33" s="173"/>
      <c r="E33" s="173"/>
      <c r="F33" s="172"/>
      <c r="G33" s="172"/>
      <c r="H33" s="172"/>
      <c r="I33" s="172"/>
      <c r="J33" s="172"/>
      <c r="K33" s="172"/>
      <c r="L33" s="172"/>
      <c r="M33" s="172"/>
      <c r="N33" s="172"/>
      <c r="O33" s="99"/>
      <c r="P33" s="81" t="s">
        <v>62</v>
      </c>
      <c r="Q33" s="82"/>
      <c r="R33" s="83"/>
      <c r="S33" s="84" t="str">
        <f>+TEXT(AA47,"# ##0")&amp;" kg"</f>
        <v>480 kg</v>
      </c>
      <c r="T33" s="83"/>
      <c r="U33" s="83"/>
      <c r="V33" s="209">
        <f>+AD47</f>
        <v>3.9672563889401866E-2</v>
      </c>
      <c r="W33" s="86"/>
      <c r="X33" s="97"/>
      <c r="Y33" s="174"/>
      <c r="AA33" s="61"/>
      <c r="AB33" s="31"/>
      <c r="AC33" s="22"/>
      <c r="AD33" s="50"/>
      <c r="AE33" s="22"/>
      <c r="AF33" s="22"/>
    </row>
    <row r="34" spans="3:32" ht="12.75" customHeight="1" thickTop="1" thickBot="1" x14ac:dyDescent="0.25">
      <c r="C34" s="167"/>
      <c r="D34" s="105" t="s">
        <v>45</v>
      </c>
      <c r="E34" s="106"/>
      <c r="F34" s="107"/>
      <c r="G34" s="108" t="str">
        <f>+TEXT(AC30,"# ##0")&amp;" kg"</f>
        <v>2 626 kg</v>
      </c>
      <c r="H34" s="107"/>
      <c r="I34" s="107"/>
      <c r="J34" s="107"/>
      <c r="K34" s="109">
        <f>+AD30</f>
        <v>0.21713224628805988</v>
      </c>
      <c r="L34" s="90"/>
      <c r="M34" s="91"/>
      <c r="N34" s="172"/>
      <c r="O34" s="99"/>
      <c r="P34" s="103"/>
      <c r="Q34" s="104"/>
      <c r="R34" s="95"/>
      <c r="S34" s="103"/>
      <c r="T34" s="95"/>
      <c r="U34" s="95"/>
      <c r="V34" s="96"/>
      <c r="W34" s="95"/>
      <c r="X34" s="97"/>
      <c r="Y34" s="174"/>
      <c r="AA34" s="61"/>
      <c r="AB34" s="31">
        <f>+SUM(AA35:AA37)</f>
        <v>1716.2256000000002</v>
      </c>
      <c r="AC34" s="49"/>
      <c r="AD34" s="65">
        <f>+AB34/$AC$4</f>
        <v>0.14193144673459629</v>
      </c>
      <c r="AE34" s="32"/>
      <c r="AF34" s="32"/>
    </row>
    <row r="35" spans="3:32" ht="12.75" customHeight="1" thickBot="1" x14ac:dyDescent="0.25">
      <c r="C35" s="167"/>
      <c r="D35" s="98"/>
      <c r="E35" s="103"/>
      <c r="F35" s="95"/>
      <c r="G35" s="94"/>
      <c r="H35" s="95"/>
      <c r="I35" s="95"/>
      <c r="J35" s="95"/>
      <c r="K35" s="95"/>
      <c r="L35" s="95"/>
      <c r="M35" s="97"/>
      <c r="N35" s="172"/>
      <c r="O35" s="99"/>
      <c r="P35" s="81" t="s">
        <v>111</v>
      </c>
      <c r="Q35" s="82"/>
      <c r="R35" s="83"/>
      <c r="S35" s="84" t="str">
        <f>+TEXT(AA49,"# ##0")&amp;" kg"</f>
        <v>85 kg</v>
      </c>
      <c r="T35" s="83"/>
      <c r="U35" s="83"/>
      <c r="V35" s="209">
        <f>+AD49</f>
        <v>6.9920993828064583E-3</v>
      </c>
      <c r="W35" s="86"/>
      <c r="X35" s="97"/>
      <c r="Y35" s="174"/>
      <c r="AA35" s="61">
        <f>+'calculs et données'!O52</f>
        <v>1033.7760000000001</v>
      </c>
      <c r="AB35" s="31"/>
      <c r="AC35" s="22"/>
      <c r="AD35" s="50">
        <f>+AA35/$AC$4</f>
        <v>8.5493028002556301E-2</v>
      </c>
      <c r="AE35" s="22"/>
      <c r="AF35" s="22"/>
    </row>
    <row r="36" spans="3:32" ht="12.75" customHeight="1" thickBot="1" x14ac:dyDescent="0.25">
      <c r="C36" s="167"/>
      <c r="D36" s="99"/>
      <c r="E36" s="81" t="s">
        <v>107</v>
      </c>
      <c r="F36" s="82"/>
      <c r="G36" s="83"/>
      <c r="H36" s="84" t="str">
        <f>+TEXT(AB32,"# ##0")&amp;" kg"</f>
        <v>763 kg</v>
      </c>
      <c r="I36" s="83"/>
      <c r="J36" s="83"/>
      <c r="K36" s="209">
        <f>+AD32</f>
        <v>6.3130268362998745E-2</v>
      </c>
      <c r="L36" s="86"/>
      <c r="M36" s="97"/>
      <c r="N36" s="172"/>
      <c r="O36" s="99"/>
      <c r="P36" s="103"/>
      <c r="Q36" s="104"/>
      <c r="R36" s="95"/>
      <c r="S36" s="103"/>
      <c r="T36" s="95"/>
      <c r="U36" s="95"/>
      <c r="V36" s="96"/>
      <c r="W36" s="95"/>
      <c r="X36" s="97"/>
      <c r="Y36" s="174"/>
      <c r="AA36" s="61">
        <f>+'calculs et données'!O58</f>
        <v>531.69060000000002</v>
      </c>
      <c r="AB36" s="31"/>
      <c r="AC36" s="22"/>
      <c r="AD36" s="50">
        <f>+AA36/$AC$4</f>
        <v>4.3970685481667174E-2</v>
      </c>
      <c r="AE36" s="22"/>
      <c r="AF36" s="22"/>
    </row>
    <row r="37" spans="3:32" ht="12.75" customHeight="1" thickBot="1" x14ac:dyDescent="0.25">
      <c r="C37" s="167"/>
      <c r="D37" s="99"/>
      <c r="E37" s="103"/>
      <c r="F37" s="104"/>
      <c r="G37" s="95"/>
      <c r="H37" s="103"/>
      <c r="I37" s="95"/>
      <c r="J37" s="95"/>
      <c r="K37" s="96"/>
      <c r="L37" s="95"/>
      <c r="M37" s="97"/>
      <c r="N37" s="172"/>
      <c r="O37" s="99"/>
      <c r="P37" s="81" t="s">
        <v>51</v>
      </c>
      <c r="Q37" s="82"/>
      <c r="R37" s="83"/>
      <c r="S37" s="84" t="str">
        <f>+TEXT(AA51,"# ##0")&amp;" kg"</f>
        <v>383 kg</v>
      </c>
      <c r="T37" s="83"/>
      <c r="U37" s="83"/>
      <c r="V37" s="209">
        <f>+AD51</f>
        <v>3.1664084445391219E-2</v>
      </c>
      <c r="W37" s="86"/>
      <c r="X37" s="97"/>
      <c r="Y37" s="174"/>
      <c r="AA37" s="61">
        <f>+SUM('calculs et données'!O54:O57)</f>
        <v>150.75899999999999</v>
      </c>
      <c r="AB37" s="31"/>
      <c r="AC37" s="22"/>
      <c r="AD37" s="50">
        <f>+AA37/$AC$4</f>
        <v>1.2467733250372792E-2</v>
      </c>
      <c r="AE37" s="22"/>
      <c r="AF37" s="22"/>
    </row>
    <row r="38" spans="3:32" ht="12.75" customHeight="1" thickBot="1" x14ac:dyDescent="0.25">
      <c r="C38" s="167"/>
      <c r="D38" s="99"/>
      <c r="E38" s="66" t="s">
        <v>48</v>
      </c>
      <c r="F38" s="67"/>
      <c r="G38" s="67"/>
      <c r="H38" s="68" t="str">
        <f>+TEXT(AB34,"# ##0")&amp;" kg"</f>
        <v>1 716 kg</v>
      </c>
      <c r="I38" s="67"/>
      <c r="J38" s="67"/>
      <c r="K38" s="208">
        <f>+AD34</f>
        <v>0.14193144673459629</v>
      </c>
      <c r="L38" s="70"/>
      <c r="M38" s="97"/>
      <c r="N38" s="172"/>
      <c r="O38" s="117"/>
      <c r="P38" s="118"/>
      <c r="Q38" s="119"/>
      <c r="R38" s="120"/>
      <c r="S38" s="118"/>
      <c r="T38" s="120"/>
      <c r="U38" s="120"/>
      <c r="V38" s="122"/>
      <c r="W38" s="120"/>
      <c r="X38" s="121"/>
      <c r="Y38" s="174"/>
      <c r="AA38" s="62">
        <f>+'calculs et données'!O59</f>
        <v>145.95605914883384</v>
      </c>
      <c r="AB38" s="44"/>
      <c r="AC38" s="22"/>
      <c r="AD38" s="50">
        <f>+AA38/$AC$4</f>
        <v>1.2070531190464874E-2</v>
      </c>
      <c r="AE38" s="22"/>
      <c r="AF38" s="22"/>
    </row>
    <row r="39" spans="3:32" ht="12.75" customHeight="1" thickTop="1" thickBot="1" x14ac:dyDescent="0.25">
      <c r="C39" s="167"/>
      <c r="D39" s="99"/>
      <c r="E39" s="71"/>
      <c r="F39" s="72" t="s">
        <v>108</v>
      </c>
      <c r="G39" s="73"/>
      <c r="H39" s="73"/>
      <c r="I39" s="73" t="str">
        <f>+TEXT(AA35,"# ##0")&amp;" kg"</f>
        <v>1 034 kg</v>
      </c>
      <c r="J39" s="73"/>
      <c r="K39" s="74">
        <f>+AD35</f>
        <v>8.5493028002556301E-2</v>
      </c>
      <c r="L39" s="75"/>
      <c r="M39" s="97"/>
      <c r="N39" s="172"/>
      <c r="O39" s="173"/>
      <c r="P39" s="173"/>
      <c r="Q39" s="172"/>
      <c r="R39" s="172"/>
      <c r="S39" s="172"/>
      <c r="T39" s="172"/>
      <c r="U39" s="172"/>
      <c r="V39" s="172"/>
      <c r="W39" s="172"/>
      <c r="X39" s="172"/>
      <c r="Y39" s="174"/>
      <c r="AA39" s="61"/>
      <c r="AB39" s="31"/>
      <c r="AC39" s="22"/>
      <c r="AD39" s="22"/>
      <c r="AE39" s="22"/>
      <c r="AF39" s="22"/>
    </row>
    <row r="40" spans="3:32" s="138" customFormat="1" ht="12.75" customHeight="1" thickTop="1" thickBot="1" x14ac:dyDescent="0.25">
      <c r="C40" s="167"/>
      <c r="D40" s="99"/>
      <c r="E40" s="71"/>
      <c r="F40" s="72" t="s">
        <v>57</v>
      </c>
      <c r="G40" s="73"/>
      <c r="H40" s="73"/>
      <c r="I40" s="73" t="str">
        <f>+TEXT(AA36,"# ##0")&amp;" kg"</f>
        <v>532 kg</v>
      </c>
      <c r="J40" s="73"/>
      <c r="K40" s="74">
        <f>+AD36</f>
        <v>4.3970685481667174E-2</v>
      </c>
      <c r="L40" s="75"/>
      <c r="M40" s="97"/>
      <c r="N40" s="172"/>
      <c r="O40" s="105" t="s">
        <v>63</v>
      </c>
      <c r="P40" s="106"/>
      <c r="Q40" s="107"/>
      <c r="R40" s="108" t="str">
        <f>+TEXT(AC54,"# ##0")&amp;" kg"</f>
        <v>1 489 kg</v>
      </c>
      <c r="S40" s="107"/>
      <c r="T40" s="107"/>
      <c r="U40" s="107"/>
      <c r="V40" s="109">
        <f>+AD54</f>
        <v>0.12315330823034346</v>
      </c>
      <c r="W40" s="90"/>
      <c r="X40" s="91"/>
      <c r="Y40" s="174"/>
      <c r="Z40" s="29"/>
      <c r="AA40" s="61"/>
      <c r="AB40" s="31"/>
      <c r="AC40" s="22"/>
      <c r="AD40" s="22"/>
      <c r="AE40" s="22"/>
      <c r="AF40" s="22"/>
    </row>
    <row r="41" spans="3:32" ht="12.75" customHeight="1" thickTop="1" thickBot="1" x14ac:dyDescent="0.25">
      <c r="C41" s="167"/>
      <c r="D41" s="99"/>
      <c r="E41" s="71"/>
      <c r="F41" s="72" t="s">
        <v>110</v>
      </c>
      <c r="G41" s="73"/>
      <c r="H41" s="73"/>
      <c r="I41" s="73" t="str">
        <f>+TEXT(AA37,"# ##0")&amp;" kg"</f>
        <v>151 kg</v>
      </c>
      <c r="J41" s="73"/>
      <c r="K41" s="74">
        <f>+AD37</f>
        <v>1.2467733250372792E-2</v>
      </c>
      <c r="L41" s="75"/>
      <c r="M41" s="97"/>
      <c r="N41" s="172"/>
      <c r="O41" s="98"/>
      <c r="P41" s="103"/>
      <c r="Q41" s="95"/>
      <c r="R41" s="94"/>
      <c r="S41" s="95"/>
      <c r="T41" s="95"/>
      <c r="U41" s="95"/>
      <c r="V41" s="96"/>
      <c r="W41" s="95"/>
      <c r="X41" s="97"/>
      <c r="Y41" s="174"/>
      <c r="AA41" s="63"/>
      <c r="AB41" s="46"/>
      <c r="AC41" s="49">
        <f>+SUM(AA43:AA53)</f>
        <v>2919.4772000000003</v>
      </c>
      <c r="AD41" s="21">
        <f>+AC41/$AC$4</f>
        <v>0.24144006633199522</v>
      </c>
      <c r="AE41" s="22"/>
      <c r="AF41" s="22"/>
    </row>
    <row r="42" spans="3:32" ht="12.75" customHeight="1" thickBot="1" x14ac:dyDescent="0.25">
      <c r="C42" s="167"/>
      <c r="D42" s="99"/>
      <c r="E42" s="76"/>
      <c r="F42" s="77" t="s">
        <v>153</v>
      </c>
      <c r="G42" s="78"/>
      <c r="H42" s="78"/>
      <c r="I42" s="78" t="str">
        <f>+TEXT(AA38,"# ##0")&amp;" kg"</f>
        <v>146 kg</v>
      </c>
      <c r="J42" s="78"/>
      <c r="K42" s="79">
        <f>+AD38</f>
        <v>1.2070531190464874E-2</v>
      </c>
      <c r="L42" s="80"/>
      <c r="M42" s="97"/>
      <c r="N42" s="172"/>
      <c r="O42" s="99"/>
      <c r="P42" s="81" t="s">
        <v>99</v>
      </c>
      <c r="Q42" s="82"/>
      <c r="R42" s="83"/>
      <c r="S42" s="84" t="str">
        <f>+TEXT(AA56,"# ##0")&amp;" kg"</f>
        <v>1 489 kg</v>
      </c>
      <c r="T42" s="83"/>
      <c r="U42" s="83"/>
      <c r="V42" s="85">
        <f>+AD56</f>
        <v>0.12315330823034346</v>
      </c>
      <c r="W42" s="86"/>
      <c r="X42" s="97"/>
      <c r="Y42" s="174"/>
      <c r="AA42" s="61"/>
      <c r="AB42" s="31"/>
      <c r="AC42" s="49"/>
      <c r="AD42" s="21"/>
      <c r="AE42" s="22"/>
      <c r="AF42" s="22"/>
    </row>
    <row r="43" spans="3:32" ht="12.75" customHeight="1" thickBot="1" x14ac:dyDescent="0.25">
      <c r="C43" s="167"/>
      <c r="D43" s="117"/>
      <c r="E43" s="118"/>
      <c r="F43" s="119"/>
      <c r="G43" s="120"/>
      <c r="H43" s="120"/>
      <c r="I43" s="120"/>
      <c r="J43" s="120"/>
      <c r="K43" s="120"/>
      <c r="L43" s="120"/>
      <c r="M43" s="121"/>
      <c r="N43" s="172"/>
      <c r="O43" s="117"/>
      <c r="P43" s="118"/>
      <c r="Q43" s="119"/>
      <c r="R43" s="120"/>
      <c r="S43" s="118"/>
      <c r="T43" s="120"/>
      <c r="U43" s="120"/>
      <c r="V43" s="120"/>
      <c r="W43" s="120"/>
      <c r="X43" s="121"/>
      <c r="Y43" s="174"/>
      <c r="AA43" s="61"/>
      <c r="AB43" s="31">
        <f>+SUM(AA44:AA45)</f>
        <v>1972.3312000000003</v>
      </c>
      <c r="AC43" s="22"/>
      <c r="AD43" s="65">
        <f>+AB43/$AC$4</f>
        <v>0.16311131861439568</v>
      </c>
      <c r="AE43" s="32"/>
      <c r="AF43" s="32"/>
    </row>
    <row r="44" spans="3:32" ht="14.25" thickTop="1" thickBot="1" x14ac:dyDescent="0.25">
      <c r="C44" s="168"/>
      <c r="D44" s="169"/>
      <c r="E44" s="169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1"/>
      <c r="AA44" s="61">
        <f>+'calculs et données'!O64</f>
        <v>424</v>
      </c>
      <c r="AB44" s="31"/>
      <c r="AC44" s="22"/>
      <c r="AD44" s="50">
        <f>+AA44/$AC$4</f>
        <v>3.5064698612739968E-2</v>
      </c>
      <c r="AE44" s="22"/>
      <c r="AF44" s="22"/>
    </row>
    <row r="45" spans="3:32" ht="13.5" thickTop="1" x14ac:dyDescent="0.2">
      <c r="O45"/>
      <c r="P45"/>
      <c r="AA45" s="61">
        <f>+'calculs et données'!O65</f>
        <v>1548.3312000000003</v>
      </c>
      <c r="AB45" s="31"/>
      <c r="AC45" s="22"/>
      <c r="AD45" s="50">
        <f>+AA45/$AC$4</f>
        <v>0.1280466200016557</v>
      </c>
      <c r="AE45" s="22"/>
      <c r="AF45" s="22"/>
    </row>
    <row r="46" spans="3:32" ht="6" customHeight="1" x14ac:dyDescent="0.2">
      <c r="D46" s="1"/>
      <c r="E46" s="1"/>
      <c r="F46" s="1"/>
      <c r="G46" s="1"/>
      <c r="H46" s="1"/>
      <c r="I46" s="1"/>
      <c r="J46" s="1"/>
      <c r="K46" s="1"/>
      <c r="L46" s="1"/>
      <c r="M46" s="1"/>
      <c r="O46"/>
      <c r="P46"/>
      <c r="AA46" s="61"/>
      <c r="AB46" s="31"/>
      <c r="AC46" s="22"/>
      <c r="AD46" s="50"/>
      <c r="AE46" s="22"/>
      <c r="AF46" s="22"/>
    </row>
    <row r="47" spans="3:32" x14ac:dyDescent="0.2">
      <c r="D47" s="1"/>
      <c r="E47" s="1"/>
      <c r="F47" s="1"/>
      <c r="G47" s="1"/>
      <c r="H47" s="1"/>
      <c r="I47" s="1"/>
      <c r="J47" s="1"/>
      <c r="K47" s="1"/>
      <c r="L47" s="1"/>
      <c r="M47" s="1"/>
      <c r="O47"/>
      <c r="P47"/>
      <c r="AA47" s="61">
        <f>+'calculs et données'!O66</f>
        <v>479.71799999999996</v>
      </c>
      <c r="AB47" s="31"/>
      <c r="AC47" s="22"/>
      <c r="AD47" s="50">
        <f>+AA47/$AC$4</f>
        <v>3.9672563889401866E-2</v>
      </c>
      <c r="AE47" s="22"/>
      <c r="AF47" s="22"/>
    </row>
    <row r="48" spans="3:32" ht="6" customHeight="1" x14ac:dyDescent="0.2">
      <c r="D48" s="1"/>
      <c r="E48" s="1"/>
      <c r="F48" s="1"/>
      <c r="G48" s="1"/>
      <c r="H48" s="1"/>
      <c r="I48" s="1"/>
      <c r="J48" s="1"/>
      <c r="K48" s="1"/>
      <c r="L48" s="1"/>
      <c r="M48" s="1"/>
      <c r="O48"/>
      <c r="P48"/>
      <c r="AA48" s="61"/>
      <c r="AB48" s="31"/>
      <c r="AC48" s="22"/>
      <c r="AD48" s="50"/>
      <c r="AE48" s="22"/>
      <c r="AF48" s="22"/>
    </row>
    <row r="49" spans="4:32" x14ac:dyDescent="0.2">
      <c r="D49" s="1"/>
      <c r="E49" s="1"/>
      <c r="F49" s="1"/>
      <c r="G49" s="1"/>
      <c r="H49" s="1"/>
      <c r="I49" s="1"/>
      <c r="J49" s="1"/>
      <c r="K49" s="1"/>
      <c r="L49" s="1"/>
      <c r="M49" s="1"/>
      <c r="O49"/>
      <c r="P49"/>
      <c r="AA49" s="61">
        <f>+'calculs et données'!O67</f>
        <v>84.547999999999988</v>
      </c>
      <c r="AB49" s="31"/>
      <c r="AC49" s="22"/>
      <c r="AD49" s="50">
        <f>+AA49/$AC$4</f>
        <v>6.9920993828064583E-3</v>
      </c>
      <c r="AE49" s="22"/>
      <c r="AF49" s="22"/>
    </row>
    <row r="50" spans="4:32" ht="6" customHeight="1" x14ac:dyDescent="0.2">
      <c r="D50" s="1"/>
      <c r="E50" s="1"/>
      <c r="F50" s="1"/>
      <c r="G50" s="1"/>
      <c r="H50" s="1"/>
      <c r="I50" s="1"/>
      <c r="J50" s="1"/>
      <c r="K50" s="1"/>
      <c r="L50" s="1"/>
      <c r="M50" s="1"/>
      <c r="O50"/>
      <c r="P50"/>
      <c r="AA50" s="61"/>
      <c r="AB50" s="31"/>
      <c r="AC50" s="22"/>
      <c r="AD50" s="50"/>
      <c r="AE50" s="22"/>
      <c r="AF50" s="22"/>
    </row>
    <row r="51" spans="4:32" x14ac:dyDescent="0.2">
      <c r="D51" s="1"/>
      <c r="E51" s="1"/>
      <c r="F51" s="1"/>
      <c r="G51" s="1"/>
      <c r="H51" s="1"/>
      <c r="I51" s="1"/>
      <c r="J51" s="1"/>
      <c r="K51" s="1"/>
      <c r="L51" s="1"/>
      <c r="M51" s="1"/>
      <c r="O51"/>
      <c r="P51"/>
      <c r="AA51" s="61">
        <f>+'calculs et données'!O69</f>
        <v>382.88</v>
      </c>
      <c r="AB51" s="31"/>
      <c r="AC51" s="22"/>
      <c r="AD51" s="50">
        <f>+AA51/$AC$4</f>
        <v>3.1664084445391219E-2</v>
      </c>
      <c r="AE51" s="22"/>
      <c r="AF51" s="22"/>
    </row>
    <row r="52" spans="4:32" ht="6" customHeight="1" x14ac:dyDescent="0.2">
      <c r="D52" s="1"/>
      <c r="E52" s="1"/>
      <c r="F52" s="1"/>
      <c r="G52" s="1"/>
      <c r="H52" s="1"/>
      <c r="I52" s="1"/>
      <c r="J52" s="1"/>
      <c r="K52" s="1"/>
      <c r="L52" s="1"/>
      <c r="M52" s="1"/>
      <c r="O52"/>
      <c r="P52"/>
      <c r="AA52" s="61"/>
      <c r="AB52" s="31"/>
      <c r="AC52" s="22"/>
      <c r="AD52" s="50"/>
      <c r="AE52" s="22"/>
      <c r="AF52" s="22"/>
    </row>
    <row r="53" spans="4:32" ht="6" customHeight="1" thickBot="1" x14ac:dyDescent="0.25">
      <c r="D53" s="1"/>
      <c r="E53" s="1"/>
      <c r="F53" s="1"/>
      <c r="G53" s="1"/>
      <c r="H53" s="1"/>
      <c r="I53" s="1"/>
      <c r="J53" s="1"/>
      <c r="K53" s="1"/>
      <c r="L53" s="1"/>
      <c r="M53" s="1"/>
      <c r="O53"/>
      <c r="P53"/>
      <c r="AA53" s="62"/>
      <c r="AB53" s="44"/>
      <c r="AC53" s="22"/>
      <c r="AD53" s="22"/>
      <c r="AE53" s="22"/>
      <c r="AF53" s="22"/>
    </row>
    <row r="54" spans="4:32" ht="13.5" thickTop="1" x14ac:dyDescent="0.2">
      <c r="D54" s="1"/>
      <c r="E54" s="1"/>
      <c r="F54" s="1"/>
      <c r="G54" s="1"/>
      <c r="H54" s="1"/>
      <c r="I54" s="1"/>
      <c r="J54" s="1"/>
      <c r="K54" s="1"/>
      <c r="L54" s="1"/>
      <c r="M54" s="1"/>
      <c r="O54"/>
      <c r="P54"/>
      <c r="AA54" s="63"/>
      <c r="AB54" s="46">
        <v>1037</v>
      </c>
      <c r="AC54" s="20">
        <f>+SUM(AA56:AA56)</f>
        <v>1489.1615999999999</v>
      </c>
      <c r="AD54" s="21">
        <f>+AC54/$AC$4</f>
        <v>0.12315330823034346</v>
      </c>
      <c r="AE54" s="32"/>
      <c r="AF54" s="32"/>
    </row>
    <row r="55" spans="4:32" ht="6" customHeight="1" x14ac:dyDescent="0.2">
      <c r="O55"/>
      <c r="P55"/>
      <c r="AA55" s="61"/>
      <c r="AB55" s="31"/>
      <c r="AC55" s="20"/>
      <c r="AD55" s="21"/>
      <c r="AE55" s="32"/>
      <c r="AF55" s="32"/>
    </row>
    <row r="56" spans="4:32" x14ac:dyDescent="0.2">
      <c r="O56"/>
      <c r="P56"/>
      <c r="AA56" s="61">
        <f>+'calculs et données'!O73</f>
        <v>1489.1615999999999</v>
      </c>
      <c r="AB56" s="31"/>
      <c r="AC56" s="22"/>
      <c r="AD56" s="50">
        <f>+AA56/$AC$4</f>
        <v>0.12315330823034346</v>
      </c>
      <c r="AE56" s="22"/>
      <c r="AF56" s="22"/>
    </row>
    <row r="57" spans="4:32" ht="6" customHeight="1" x14ac:dyDescent="0.2">
      <c r="O57"/>
      <c r="P57"/>
      <c r="AA57" s="61"/>
      <c r="AB57" s="31"/>
      <c r="AC57" s="22"/>
      <c r="AD57" s="22"/>
      <c r="AE57" s="22"/>
      <c r="AF57" s="22"/>
    </row>
    <row r="58" spans="4:32" ht="6" customHeight="1" thickBot="1" x14ac:dyDescent="0.25">
      <c r="E58" s="64"/>
      <c r="F58" s="24"/>
      <c r="G58" s="29"/>
      <c r="H58" s="64"/>
      <c r="I58" s="29"/>
      <c r="J58" s="29"/>
      <c r="K58" s="29"/>
      <c r="L58" s="29"/>
      <c r="M58" s="29"/>
      <c r="O58"/>
      <c r="P58"/>
      <c r="AA58" s="61"/>
      <c r="AB58" s="31"/>
      <c r="AC58" s="22"/>
      <c r="AD58" s="22"/>
      <c r="AE58" s="22"/>
      <c r="AF58" s="22"/>
    </row>
    <row r="59" spans="4:32" ht="13.5" thickTop="1" x14ac:dyDescent="0.2">
      <c r="O59"/>
      <c r="P59"/>
      <c r="AA59" s="63"/>
      <c r="AB59" s="46">
        <v>3061</v>
      </c>
      <c r="AC59" s="20">
        <f>+SUM(AA61:AA78)</f>
        <v>2705.1339318300129</v>
      </c>
      <c r="AD59" s="21">
        <f>+AC59/$AC$4</f>
        <v>0.22371392930829165</v>
      </c>
      <c r="AE59" s="22"/>
      <c r="AF59" s="22"/>
    </row>
    <row r="60" spans="4:32" ht="6" customHeight="1" x14ac:dyDescent="0.2">
      <c r="O60"/>
      <c r="P60"/>
      <c r="AA60" s="61"/>
      <c r="AB60" s="31"/>
      <c r="AC60" s="20"/>
      <c r="AD60" s="21"/>
      <c r="AE60" s="22"/>
      <c r="AF60" s="22"/>
    </row>
    <row r="61" spans="4:32" x14ac:dyDescent="0.2">
      <c r="O61"/>
      <c r="P61"/>
      <c r="AA61" s="61"/>
      <c r="AB61" s="31">
        <f>+SUM(AA62:AA67)</f>
        <v>1696.0000000000002</v>
      </c>
      <c r="AC61" s="22"/>
      <c r="AD61" s="65">
        <f>+AB61/$AC$4</f>
        <v>0.14025879445095987</v>
      </c>
      <c r="AE61" s="32"/>
      <c r="AF61" s="32"/>
    </row>
    <row r="62" spans="4:32" x14ac:dyDescent="0.2">
      <c r="O62"/>
      <c r="P62"/>
      <c r="AA62" s="61">
        <f>+'calculs et données'!O78</f>
        <v>653.52</v>
      </c>
      <c r="AB62" s="31"/>
      <c r="AC62" s="22"/>
      <c r="AD62" s="50">
        <f t="shared" ref="AD62:AD67" si="4">+AA62/$AC$4</f>
        <v>5.4045947729711843E-2</v>
      </c>
      <c r="AE62" s="22"/>
      <c r="AF62" s="22"/>
    </row>
    <row r="63" spans="4:32" x14ac:dyDescent="0.2">
      <c r="O63"/>
      <c r="P63"/>
      <c r="AA63" s="61">
        <f>+'calculs et données'!O79</f>
        <v>497.92</v>
      </c>
      <c r="AB63" s="31"/>
      <c r="AC63" s="22"/>
      <c r="AD63" s="50">
        <f t="shared" si="4"/>
        <v>4.1177864936923311E-2</v>
      </c>
      <c r="AE63" s="22"/>
      <c r="AF63" s="22"/>
    </row>
    <row r="64" spans="4:32" x14ac:dyDescent="0.2">
      <c r="O64"/>
      <c r="P64"/>
      <c r="AA64" s="61">
        <f>+'calculs et données'!O80</f>
        <v>171.16</v>
      </c>
      <c r="AB64" s="31"/>
      <c r="AC64" s="22"/>
      <c r="AD64" s="50">
        <f t="shared" si="4"/>
        <v>1.4154891072067388E-2</v>
      </c>
      <c r="AE64" s="22"/>
      <c r="AF64" s="22"/>
    </row>
    <row r="65" spans="3:32" x14ac:dyDescent="0.2">
      <c r="O65"/>
      <c r="P65"/>
      <c r="AA65" s="61">
        <f>+'calculs et données'!O81</f>
        <v>171.16</v>
      </c>
      <c r="AB65" s="31"/>
      <c r="AC65" s="22"/>
      <c r="AD65" s="50">
        <f t="shared" si="4"/>
        <v>1.4154891072067388E-2</v>
      </c>
      <c r="AE65" s="22"/>
      <c r="AF65" s="22"/>
    </row>
    <row r="66" spans="3:32" x14ac:dyDescent="0.2">
      <c r="O66"/>
      <c r="P66"/>
      <c r="AA66" s="61">
        <f>+'calculs et données'!O82</f>
        <v>62.24</v>
      </c>
      <c r="AB66" s="31"/>
      <c r="AC66" s="22"/>
      <c r="AD66" s="50">
        <f t="shared" si="4"/>
        <v>5.1472331171154139E-3</v>
      </c>
      <c r="AE66" s="22"/>
      <c r="AF66" s="22"/>
    </row>
    <row r="67" spans="3:32" x14ac:dyDescent="0.2">
      <c r="O67"/>
      <c r="P67"/>
      <c r="AA67" s="61">
        <f>+'calculs et données'!O83</f>
        <v>140</v>
      </c>
      <c r="AB67" s="31"/>
      <c r="AC67" s="22"/>
      <c r="AD67" s="50">
        <f t="shared" si="4"/>
        <v>1.1577966523074516E-2</v>
      </c>
      <c r="AE67" s="22"/>
      <c r="AF67" s="22"/>
    </row>
    <row r="68" spans="3:32" ht="6" customHeight="1" x14ac:dyDescent="0.2">
      <c r="O68"/>
      <c r="P68"/>
      <c r="AA68" s="61"/>
      <c r="AB68" s="31"/>
      <c r="AC68" s="22"/>
      <c r="AD68" s="22"/>
      <c r="AE68" s="22"/>
      <c r="AF68" s="22"/>
    </row>
    <row r="69" spans="3:32" x14ac:dyDescent="0.2">
      <c r="O69"/>
      <c r="P69"/>
      <c r="AA69" s="61"/>
      <c r="AB69" s="31">
        <f>+SUM(AA70:AA71)</f>
        <v>625.77256944444434</v>
      </c>
      <c r="AC69" s="22"/>
      <c r="AD69" s="65">
        <f>+AB69/$AC$4</f>
        <v>5.1751241857757854E-2</v>
      </c>
      <c r="AE69" s="22"/>
      <c r="AF69" s="22"/>
    </row>
    <row r="70" spans="3:32" x14ac:dyDescent="0.2">
      <c r="O70"/>
      <c r="P70"/>
      <c r="AA70" s="61">
        <f>+'calculs et données'!O85</f>
        <v>492.1788194444444</v>
      </c>
      <c r="AB70" s="31"/>
      <c r="AC70" s="22"/>
      <c r="AD70" s="50">
        <f>+AA70/$AC$4</f>
        <v>4.0703070677815104E-2</v>
      </c>
      <c r="AE70" s="22"/>
      <c r="AF70" s="22"/>
    </row>
    <row r="71" spans="3:32" x14ac:dyDescent="0.2">
      <c r="O71"/>
      <c r="P71"/>
      <c r="AA71" s="61">
        <f>+'calculs et données'!O86</f>
        <v>133.59375</v>
      </c>
      <c r="AB71" s="31"/>
      <c r="AC71" s="22"/>
      <c r="AD71" s="50">
        <f>+AA71/$AC$4</f>
        <v>1.1048171179942759E-2</v>
      </c>
      <c r="AE71" s="22"/>
      <c r="AF71" s="22"/>
    </row>
    <row r="72" spans="3:32" s="138" customFormat="1" x14ac:dyDescent="0.2">
      <c r="C72" s="1"/>
      <c r="D72" s="64"/>
      <c r="E72" s="2"/>
      <c r="N72" s="29"/>
      <c r="Y72" s="29"/>
      <c r="Z72" s="29"/>
      <c r="AA72" s="61">
        <f>+'calculs et données'!O87</f>
        <v>48.828125</v>
      </c>
      <c r="AB72" s="31"/>
      <c r="AC72" s="22"/>
      <c r="AD72" s="50">
        <f>+AA72/$AC$4</f>
        <v>4.0380742616749846E-3</v>
      </c>
      <c r="AE72" s="22"/>
      <c r="AF72" s="22"/>
    </row>
    <row r="73" spans="3:32" ht="6" customHeight="1" x14ac:dyDescent="0.2">
      <c r="O73"/>
      <c r="P73"/>
      <c r="AA73" s="61"/>
      <c r="AB73" s="31"/>
      <c r="AC73" s="22"/>
      <c r="AD73" s="50"/>
      <c r="AE73" s="22"/>
      <c r="AF73" s="22"/>
    </row>
    <row r="74" spans="3:32" x14ac:dyDescent="0.2">
      <c r="O74"/>
      <c r="P74"/>
      <c r="AA74" s="61"/>
      <c r="AB74" s="31">
        <f>+SUM(AA75:AA77)</f>
        <v>334.53323738556833</v>
      </c>
      <c r="AC74" s="22"/>
      <c r="AD74" s="65">
        <f>+AB74/$AC$4</f>
        <v>2.7665818737898931E-2</v>
      </c>
      <c r="AE74" s="22"/>
      <c r="AF74" s="22"/>
    </row>
    <row r="75" spans="3:32" x14ac:dyDescent="0.2">
      <c r="O75"/>
      <c r="P75"/>
      <c r="AA75" s="61">
        <f>+'calculs et données'!O90</f>
        <v>157.45123738556831</v>
      </c>
      <c r="AB75" s="31"/>
      <c r="AC75" s="22"/>
      <c r="AD75" s="50">
        <f>+AA75/$AC$4</f>
        <v>1.3021179681905491E-2</v>
      </c>
      <c r="AE75" s="22"/>
      <c r="AF75" s="22"/>
    </row>
    <row r="76" spans="3:32" x14ac:dyDescent="0.2">
      <c r="O76"/>
      <c r="P76"/>
      <c r="AA76" s="61">
        <f>+'calculs et données'!O91</f>
        <v>119.65</v>
      </c>
      <c r="AB76" s="31"/>
      <c r="AC76" s="22"/>
      <c r="AD76" s="50">
        <f>+AA76/$AC$4</f>
        <v>9.8950263891847568E-3</v>
      </c>
      <c r="AE76" s="22"/>
      <c r="AF76" s="22"/>
    </row>
    <row r="77" spans="3:32" x14ac:dyDescent="0.2">
      <c r="O77"/>
      <c r="P77"/>
      <c r="AA77" s="61">
        <f>+'calculs et données'!O92</f>
        <v>57.431999999999995</v>
      </c>
      <c r="AB77" s="31"/>
      <c r="AC77" s="22"/>
      <c r="AD77" s="50">
        <f>+AA77/$AC$4</f>
        <v>4.7496126668086832E-3</v>
      </c>
      <c r="AE77" s="22"/>
      <c r="AF77" s="22"/>
    </row>
    <row r="78" spans="3:32" ht="6" customHeight="1" thickBot="1" x14ac:dyDescent="0.25">
      <c r="O78"/>
      <c r="P78"/>
      <c r="AA78" s="43"/>
      <c r="AB78" s="44"/>
      <c r="AC78" s="22"/>
      <c r="AD78" s="22"/>
      <c r="AE78" s="22"/>
      <c r="AF78" s="22"/>
    </row>
    <row r="79" spans="3:32" ht="6" customHeight="1" thickTop="1" x14ac:dyDescent="0.2"/>
  </sheetData>
  <sortState ref="E76:AB78">
    <sortCondition descending="1" ref="AA76:AA78"/>
  </sortState>
  <mergeCells count="2">
    <mergeCell ref="I6:K8"/>
    <mergeCell ref="D6:H8"/>
  </mergeCells>
  <pageMargins left="0.25" right="0.25" top="0.75" bottom="0.75" header="0.3" footer="0.3"/>
  <pageSetup paperSize="9" scale="9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1"/>
  <sheetViews>
    <sheetView workbookViewId="0">
      <selection activeCell="B2" sqref="B2:H10"/>
    </sheetView>
  </sheetViews>
  <sheetFormatPr baseColWidth="10" defaultRowHeight="12.75" x14ac:dyDescent="0.2"/>
  <cols>
    <col min="2" max="2" width="2.5703125" style="138" customWidth="1"/>
    <col min="3" max="3" width="24.140625" customWidth="1"/>
    <col min="4" max="4" width="2.140625" style="138" customWidth="1"/>
    <col min="7" max="7" width="14.5703125" customWidth="1"/>
    <col min="8" max="8" width="2.85546875" customWidth="1"/>
  </cols>
  <sheetData>
    <row r="1" spans="2:8" ht="13.5" thickBot="1" x14ac:dyDescent="0.25">
      <c r="B1" s="42"/>
      <c r="C1" s="42"/>
      <c r="D1" s="42"/>
      <c r="E1" s="42"/>
      <c r="F1" s="42"/>
      <c r="G1" s="42"/>
      <c r="H1" s="42"/>
    </row>
    <row r="2" spans="2:8" s="138" customFormat="1" ht="14.25" thickTop="1" thickBot="1" x14ac:dyDescent="0.25">
      <c r="B2" s="193"/>
      <c r="C2" s="194"/>
      <c r="D2" s="194"/>
      <c r="E2" s="194"/>
      <c r="F2" s="194"/>
      <c r="G2" s="194"/>
      <c r="H2" s="195"/>
    </row>
    <row r="3" spans="2:8" ht="27" thickTop="1" thickBot="1" x14ac:dyDescent="0.25">
      <c r="B3" s="196"/>
      <c r="C3" s="373" t="s">
        <v>164</v>
      </c>
      <c r="D3" s="172"/>
      <c r="E3" s="207" t="s">
        <v>158</v>
      </c>
      <c r="F3" s="207" t="s">
        <v>161</v>
      </c>
      <c r="G3" s="207" t="s">
        <v>162</v>
      </c>
      <c r="H3" s="174"/>
    </row>
    <row r="4" spans="2:8" ht="14.25" thickTop="1" thickBot="1" x14ac:dyDescent="0.25">
      <c r="B4" s="196"/>
      <c r="C4" s="373"/>
      <c r="D4" s="172"/>
      <c r="E4" s="200" t="s">
        <v>155</v>
      </c>
      <c r="F4" s="200" t="s">
        <v>156</v>
      </c>
      <c r="G4" s="200" t="s">
        <v>157</v>
      </c>
      <c r="H4" s="174"/>
    </row>
    <row r="5" spans="2:8" s="138" customFormat="1" ht="13.5" thickTop="1" x14ac:dyDescent="0.2">
      <c r="B5" s="196"/>
      <c r="C5" s="172"/>
      <c r="D5" s="172"/>
      <c r="E5" s="197"/>
      <c r="F5" s="197"/>
      <c r="G5" s="197"/>
      <c r="H5" s="174"/>
    </row>
    <row r="6" spans="2:8" x14ac:dyDescent="0.2">
      <c r="B6" s="196"/>
      <c r="C6" s="204" t="s">
        <v>159</v>
      </c>
      <c r="D6" s="172"/>
      <c r="E6" s="201">
        <v>356</v>
      </c>
      <c r="F6" s="201">
        <v>23</v>
      </c>
      <c r="G6" s="202">
        <f>+F6*E6</f>
        <v>8188</v>
      </c>
      <c r="H6" s="174"/>
    </row>
    <row r="7" spans="2:8" x14ac:dyDescent="0.2">
      <c r="B7" s="196"/>
      <c r="C7" s="204" t="s">
        <v>160</v>
      </c>
      <c r="D7" s="172"/>
      <c r="E7" s="201">
        <v>196</v>
      </c>
      <c r="F7" s="201">
        <v>40</v>
      </c>
      <c r="G7" s="202">
        <f>+F7*E7</f>
        <v>7840</v>
      </c>
      <c r="H7" s="174"/>
    </row>
    <row r="8" spans="2:8" x14ac:dyDescent="0.2">
      <c r="B8" s="196"/>
      <c r="C8" s="205"/>
      <c r="D8" s="172"/>
      <c r="E8" s="172"/>
      <c r="F8" s="172"/>
      <c r="G8" s="172"/>
      <c r="H8" s="174"/>
    </row>
    <row r="9" spans="2:8" x14ac:dyDescent="0.2">
      <c r="B9" s="196"/>
      <c r="C9" s="206" t="s">
        <v>163</v>
      </c>
      <c r="D9" s="172"/>
      <c r="E9" s="203">
        <f>+E7/E6</f>
        <v>0.550561797752809</v>
      </c>
      <c r="F9" s="203">
        <f>+F7/F6</f>
        <v>1.7391304347826086</v>
      </c>
      <c r="G9" s="203">
        <f>+G7/G6</f>
        <v>0.95749877870053735</v>
      </c>
      <c r="H9" s="174"/>
    </row>
    <row r="10" spans="2:8" ht="13.5" thickBot="1" x14ac:dyDescent="0.25">
      <c r="B10" s="198"/>
      <c r="C10" s="170"/>
      <c r="D10" s="170"/>
      <c r="E10" s="199"/>
      <c r="F10" s="199"/>
      <c r="G10" s="199"/>
      <c r="H10" s="171"/>
    </row>
    <row r="11" spans="2:8" ht="13.5" thickTop="1" x14ac:dyDescent="0.2"/>
  </sheetData>
  <mergeCells count="1">
    <mergeCell ref="C3:C4"/>
  </mergeCells>
  <conditionalFormatting sqref="E10:G10">
    <cfRule type="iconSet" priority="2">
      <iconSet iconSet="3ArrowsGray">
        <cfvo type="percent" val="0"/>
        <cfvo type="percent" val="33"/>
        <cfvo type="percent" val="67"/>
      </iconSet>
    </cfRule>
  </conditionalFormatting>
  <conditionalFormatting sqref="E9:G9">
    <cfRule type="iconSet" priority="1">
      <iconSet iconSet="3ArrowsGray">
        <cfvo type="percent" val="0"/>
        <cfvo type="percent" val="33"/>
        <cfvo type="percent" val="67"/>
      </iconSet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Feuilles de calcul</vt:lpstr>
      </vt:variant>
      <vt:variant>
        <vt:i4>7</vt:i4>
      </vt:variant>
      <vt:variant>
        <vt:lpstr>Graphiques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11" baseType="lpstr">
      <vt:lpstr>calculs et données</vt:lpstr>
      <vt:lpstr>tableau maslow</vt:lpstr>
      <vt:lpstr>data_Maslow</vt:lpstr>
      <vt:lpstr>motifs_maslow</vt:lpstr>
      <vt:lpstr>data_empreinte</vt:lpstr>
      <vt:lpstr>empreinte (tableau)</vt:lpstr>
      <vt:lpstr>batiment</vt:lpstr>
      <vt:lpstr>Graph_maslow</vt:lpstr>
      <vt:lpstr>Graph_empreinte</vt:lpstr>
      <vt:lpstr>'empreinte (tableau)'!Zone_d_impression</vt:lpstr>
      <vt:lpstr>'tableau maslow'!Zone_d_impression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Régis Janvier</dc:creator>
  <cp:lastModifiedBy>Régis Janvier</cp:lastModifiedBy>
  <cp:lastPrinted>2018-11-01T14:15:01Z</cp:lastPrinted>
  <dcterms:created xsi:type="dcterms:W3CDTF">2018-11-01T11:24:29Z</dcterms:created>
  <dcterms:modified xsi:type="dcterms:W3CDTF">2018-11-07T02:18:52Z</dcterms:modified>
</cp:coreProperties>
</file>